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ronog Descritivo IMPRESSAO" sheetId="4" r:id="rId1"/>
    <sheet name="PQCU" sheetId="1" r:id="rId2"/>
    <sheet name="PCCU composicoes" sheetId="2" r:id="rId3"/>
    <sheet name="COTACOES" sheetId="3" r:id="rId4"/>
  </sheets>
  <definedNames>
    <definedName name="_xlnm.Print_Titles" localSheetId="0">'Cronog Descritivo IMPRESSAO'!$1:$5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24" i="4" l="1"/>
  <c r="W158" i="4"/>
  <c r="W125" i="4"/>
  <c r="W122" i="4"/>
  <c r="W80" i="4"/>
  <c r="W59" i="4"/>
  <c r="W47" i="4"/>
  <c r="W37" i="4"/>
  <c r="W27" i="4"/>
  <c r="W7" i="4"/>
  <c r="W170" i="4" l="1"/>
  <c r="AE167" i="4"/>
  <c r="I167" i="4"/>
  <c r="F167" i="4"/>
  <c r="L167" i="4" s="1"/>
  <c r="AE166" i="4"/>
  <c r="I166" i="4"/>
  <c r="F166" i="4"/>
  <c r="M166" i="4" s="1"/>
  <c r="AE165" i="4"/>
  <c r="M165" i="4"/>
  <c r="L165" i="4"/>
  <c r="I165" i="4"/>
  <c r="J165" i="4" s="1"/>
  <c r="AE164" i="4"/>
  <c r="I164" i="4"/>
  <c r="F164" i="4"/>
  <c r="L164" i="4" s="1"/>
  <c r="AE163" i="4"/>
  <c r="M163" i="4"/>
  <c r="L163" i="4"/>
  <c r="I163" i="4"/>
  <c r="J163" i="4" s="1"/>
  <c r="AE162" i="4"/>
  <c r="M162" i="4"/>
  <c r="L162" i="4"/>
  <c r="I162" i="4"/>
  <c r="J162" i="4" s="1"/>
  <c r="AE161" i="4"/>
  <c r="M161" i="4"/>
  <c r="L161" i="4"/>
  <c r="I161" i="4"/>
  <c r="J161" i="4" s="1"/>
  <c r="AE160" i="4"/>
  <c r="M160" i="4"/>
  <c r="L160" i="4"/>
  <c r="I160" i="4"/>
  <c r="J160" i="4" s="1"/>
  <c r="AE159" i="4"/>
  <c r="I159" i="4"/>
  <c r="F159" i="4"/>
  <c r="M159" i="4" s="1"/>
  <c r="Y158" i="4"/>
  <c r="U158" i="4"/>
  <c r="AE156" i="4"/>
  <c r="H156" i="4"/>
  <c r="M156" i="4" s="1"/>
  <c r="G156" i="4"/>
  <c r="L156" i="4" s="1"/>
  <c r="AE155" i="4"/>
  <c r="M155" i="4"/>
  <c r="G155" i="4"/>
  <c r="L155" i="4" s="1"/>
  <c r="AE154" i="4"/>
  <c r="M154" i="4"/>
  <c r="L154" i="4"/>
  <c r="I154" i="4"/>
  <c r="J154" i="4" s="1"/>
  <c r="AE153" i="4"/>
  <c r="M153" i="4"/>
  <c r="L153" i="4"/>
  <c r="I153" i="4"/>
  <c r="J153" i="4" s="1"/>
  <c r="AE152" i="4"/>
  <c r="M152" i="4"/>
  <c r="L152" i="4"/>
  <c r="I152" i="4"/>
  <c r="J152" i="4" s="1"/>
  <c r="AE151" i="4"/>
  <c r="M151" i="4"/>
  <c r="L151" i="4"/>
  <c r="I151" i="4"/>
  <c r="J151" i="4" s="1"/>
  <c r="AE150" i="4"/>
  <c r="G150" i="4"/>
  <c r="I150" i="4" s="1"/>
  <c r="F150" i="4"/>
  <c r="M150" i="4" s="1"/>
  <c r="AE149" i="4"/>
  <c r="G149" i="4"/>
  <c r="I149" i="4" s="1"/>
  <c r="J149" i="4" s="1"/>
  <c r="F149" i="4"/>
  <c r="M149" i="4" s="1"/>
  <c r="AE148" i="4"/>
  <c r="M148" i="4"/>
  <c r="L148" i="4"/>
  <c r="I148" i="4"/>
  <c r="J148" i="4" s="1"/>
  <c r="AE147" i="4"/>
  <c r="M147" i="4"/>
  <c r="L147" i="4"/>
  <c r="I147" i="4"/>
  <c r="J147" i="4" s="1"/>
  <c r="AE146" i="4"/>
  <c r="M146" i="4"/>
  <c r="G146" i="4"/>
  <c r="I146" i="4" s="1"/>
  <c r="J146" i="4" s="1"/>
  <c r="AE145" i="4"/>
  <c r="M145" i="4"/>
  <c r="G145" i="4"/>
  <c r="L145" i="4" s="1"/>
  <c r="AE144" i="4"/>
  <c r="I144" i="4"/>
  <c r="F144" i="4"/>
  <c r="M144" i="4" s="1"/>
  <c r="AE143" i="4"/>
  <c r="M143" i="4"/>
  <c r="L143" i="4"/>
  <c r="I143" i="4"/>
  <c r="J143" i="4" s="1"/>
  <c r="AE142" i="4"/>
  <c r="M142" i="4"/>
  <c r="L142" i="4"/>
  <c r="I142" i="4"/>
  <c r="J142" i="4" s="1"/>
  <c r="AE141" i="4"/>
  <c r="M141" i="4"/>
  <c r="L141" i="4"/>
  <c r="I141" i="4"/>
  <c r="J141" i="4" s="1"/>
  <c r="AE140" i="4"/>
  <c r="M140" i="4"/>
  <c r="L140" i="4"/>
  <c r="I140" i="4"/>
  <c r="J140" i="4" s="1"/>
  <c r="AE139" i="4"/>
  <c r="M139" i="4"/>
  <c r="L139" i="4"/>
  <c r="I139" i="4"/>
  <c r="J139" i="4" s="1"/>
  <c r="AE138" i="4"/>
  <c r="M138" i="4"/>
  <c r="L138" i="4"/>
  <c r="I138" i="4"/>
  <c r="J138" i="4" s="1"/>
  <c r="AE137" i="4"/>
  <c r="M137" i="4"/>
  <c r="L137" i="4"/>
  <c r="I137" i="4"/>
  <c r="J137" i="4" s="1"/>
  <c r="AE136" i="4"/>
  <c r="M136" i="4"/>
  <c r="G136" i="4"/>
  <c r="L136" i="4" s="1"/>
  <c r="AE135" i="4"/>
  <c r="M135" i="4"/>
  <c r="G135" i="4"/>
  <c r="L135" i="4" s="1"/>
  <c r="AE134" i="4"/>
  <c r="M134" i="4"/>
  <c r="L134" i="4"/>
  <c r="I134" i="4"/>
  <c r="J134" i="4" s="1"/>
  <c r="AE133" i="4"/>
  <c r="M133" i="4"/>
  <c r="L133" i="4"/>
  <c r="I133" i="4"/>
  <c r="J133" i="4" s="1"/>
  <c r="AE132" i="4"/>
  <c r="M132" i="4"/>
  <c r="L132" i="4"/>
  <c r="I132" i="4"/>
  <c r="J132" i="4" s="1"/>
  <c r="AE131" i="4"/>
  <c r="M131" i="4"/>
  <c r="L131" i="4"/>
  <c r="I131" i="4"/>
  <c r="J131" i="4" s="1"/>
  <c r="AE130" i="4"/>
  <c r="M130" i="4"/>
  <c r="L130" i="4"/>
  <c r="I130" i="4"/>
  <c r="J130" i="4" s="1"/>
  <c r="AE129" i="4"/>
  <c r="M129" i="4"/>
  <c r="L129" i="4"/>
  <c r="I129" i="4"/>
  <c r="J129" i="4" s="1"/>
  <c r="AE128" i="4"/>
  <c r="M128" i="4"/>
  <c r="L128" i="4"/>
  <c r="I128" i="4"/>
  <c r="J128" i="4" s="1"/>
  <c r="AE127" i="4"/>
  <c r="M127" i="4"/>
  <c r="G127" i="4"/>
  <c r="I127" i="4" s="1"/>
  <c r="F127" i="4"/>
  <c r="AE126" i="4"/>
  <c r="M126" i="4"/>
  <c r="L126" i="4"/>
  <c r="I126" i="4"/>
  <c r="J126" i="4" s="1"/>
  <c r="U125" i="4"/>
  <c r="AE123" i="4"/>
  <c r="M123" i="4"/>
  <c r="G123" i="4"/>
  <c r="L123" i="4" s="1"/>
  <c r="AC122" i="4"/>
  <c r="Y122" i="4"/>
  <c r="U122" i="4"/>
  <c r="AE120" i="4"/>
  <c r="M120" i="4"/>
  <c r="L120" i="4"/>
  <c r="I120" i="4"/>
  <c r="J120" i="4" s="1"/>
  <c r="AE119" i="4"/>
  <c r="M119" i="4"/>
  <c r="L119" i="4"/>
  <c r="I119" i="4"/>
  <c r="J119" i="4" s="1"/>
  <c r="AE118" i="4"/>
  <c r="M118" i="4"/>
  <c r="L118" i="4"/>
  <c r="I118" i="4"/>
  <c r="J118" i="4" s="1"/>
  <c r="AE117" i="4"/>
  <c r="M117" i="4"/>
  <c r="L117" i="4"/>
  <c r="I117" i="4"/>
  <c r="J117" i="4" s="1"/>
  <c r="AE116" i="4"/>
  <c r="M116" i="4"/>
  <c r="L116" i="4"/>
  <c r="I116" i="4"/>
  <c r="J116" i="4" s="1"/>
  <c r="AE115" i="4"/>
  <c r="M115" i="4"/>
  <c r="L115" i="4"/>
  <c r="I115" i="4"/>
  <c r="J115" i="4" s="1"/>
  <c r="AE114" i="4"/>
  <c r="M114" i="4"/>
  <c r="L114" i="4"/>
  <c r="I114" i="4"/>
  <c r="J114" i="4" s="1"/>
  <c r="AE113" i="4"/>
  <c r="M113" i="4"/>
  <c r="L113" i="4"/>
  <c r="I113" i="4"/>
  <c r="J113" i="4" s="1"/>
  <c r="AE112" i="4"/>
  <c r="M112" i="4"/>
  <c r="L112" i="4"/>
  <c r="I112" i="4"/>
  <c r="J112" i="4" s="1"/>
  <c r="AE111" i="4"/>
  <c r="M111" i="4"/>
  <c r="L111" i="4"/>
  <c r="I111" i="4"/>
  <c r="J111" i="4" s="1"/>
  <c r="AE110" i="4"/>
  <c r="M110" i="4"/>
  <c r="L110" i="4"/>
  <c r="I110" i="4"/>
  <c r="J110" i="4" s="1"/>
  <c r="G110" i="4"/>
  <c r="AE109" i="4"/>
  <c r="M109" i="4"/>
  <c r="G109" i="4"/>
  <c r="AE108" i="4"/>
  <c r="I108" i="4"/>
  <c r="F108" i="4"/>
  <c r="M108" i="4" s="1"/>
  <c r="AE107" i="4"/>
  <c r="I107" i="4"/>
  <c r="F107" i="4"/>
  <c r="L107" i="4" s="1"/>
  <c r="AE106" i="4"/>
  <c r="M106" i="4"/>
  <c r="L106" i="4"/>
  <c r="I106" i="4"/>
  <c r="J106" i="4" s="1"/>
  <c r="AE105" i="4"/>
  <c r="M105" i="4"/>
  <c r="G105" i="4"/>
  <c r="I105" i="4" s="1"/>
  <c r="J105" i="4" s="1"/>
  <c r="AE104" i="4"/>
  <c r="G104" i="4"/>
  <c r="I104" i="4" s="1"/>
  <c r="F104" i="4"/>
  <c r="M104" i="4" s="1"/>
  <c r="AE103" i="4"/>
  <c r="M103" i="4"/>
  <c r="L103" i="4"/>
  <c r="I103" i="4"/>
  <c r="J103" i="4" s="1"/>
  <c r="AE102" i="4"/>
  <c r="M102" i="4"/>
  <c r="G102" i="4"/>
  <c r="I102" i="4" s="1"/>
  <c r="J102" i="4" s="1"/>
  <c r="AE101" i="4"/>
  <c r="M101" i="4"/>
  <c r="G101" i="4"/>
  <c r="I101" i="4" s="1"/>
  <c r="J101" i="4" s="1"/>
  <c r="AE100" i="4"/>
  <c r="G100" i="4"/>
  <c r="I100" i="4" s="1"/>
  <c r="J100" i="4" s="1"/>
  <c r="F100" i="4"/>
  <c r="AE99" i="4"/>
  <c r="M99" i="4"/>
  <c r="L99" i="4"/>
  <c r="I99" i="4"/>
  <c r="J99" i="4" s="1"/>
  <c r="AE98" i="4"/>
  <c r="M98" i="4"/>
  <c r="G98" i="4"/>
  <c r="I98" i="4" s="1"/>
  <c r="J98" i="4" s="1"/>
  <c r="AE97" i="4"/>
  <c r="M97" i="4"/>
  <c r="L97" i="4"/>
  <c r="I97" i="4"/>
  <c r="J97" i="4" s="1"/>
  <c r="AE96" i="4"/>
  <c r="M96" i="4"/>
  <c r="L96" i="4"/>
  <c r="I96" i="4"/>
  <c r="J96" i="4" s="1"/>
  <c r="AE95" i="4"/>
  <c r="M95" i="4"/>
  <c r="L95" i="4"/>
  <c r="I95" i="4"/>
  <c r="J95" i="4" s="1"/>
  <c r="AE94" i="4"/>
  <c r="M94" i="4"/>
  <c r="G94" i="4"/>
  <c r="AE93" i="4"/>
  <c r="M93" i="4"/>
  <c r="L93" i="4"/>
  <c r="I93" i="4"/>
  <c r="J93" i="4" s="1"/>
  <c r="AE92" i="4"/>
  <c r="M92" i="4"/>
  <c r="L92" i="4"/>
  <c r="I92" i="4"/>
  <c r="J92" i="4" s="1"/>
  <c r="AE91" i="4"/>
  <c r="M91" i="4"/>
  <c r="L91" i="4"/>
  <c r="I91" i="4"/>
  <c r="J91" i="4" s="1"/>
  <c r="AE90" i="4"/>
  <c r="M90" i="4"/>
  <c r="L90" i="4"/>
  <c r="I90" i="4"/>
  <c r="J90" i="4" s="1"/>
  <c r="AE89" i="4"/>
  <c r="M89" i="4"/>
  <c r="L89" i="4"/>
  <c r="I89" i="4"/>
  <c r="J89" i="4" s="1"/>
  <c r="AE88" i="4"/>
  <c r="M88" i="4"/>
  <c r="L88" i="4"/>
  <c r="I88" i="4"/>
  <c r="J88" i="4" s="1"/>
  <c r="AE87" i="4"/>
  <c r="M87" i="4"/>
  <c r="L87" i="4"/>
  <c r="I87" i="4"/>
  <c r="J87" i="4" s="1"/>
  <c r="AE86" i="4"/>
  <c r="M86" i="4"/>
  <c r="L86" i="4"/>
  <c r="I86" i="4"/>
  <c r="J86" i="4" s="1"/>
  <c r="AE85" i="4"/>
  <c r="M85" i="4"/>
  <c r="L85" i="4"/>
  <c r="I85" i="4"/>
  <c r="J85" i="4" s="1"/>
  <c r="AE84" i="4"/>
  <c r="M84" i="4"/>
  <c r="L84" i="4"/>
  <c r="I84" i="4"/>
  <c r="J84" i="4" s="1"/>
  <c r="AE83" i="4"/>
  <c r="M83" i="4"/>
  <c r="L83" i="4"/>
  <c r="I83" i="4"/>
  <c r="J83" i="4" s="1"/>
  <c r="AE82" i="4"/>
  <c r="M82" i="4"/>
  <c r="L82" i="4"/>
  <c r="I82" i="4"/>
  <c r="J82" i="4" s="1"/>
  <c r="AE81" i="4"/>
  <c r="M81" i="4"/>
  <c r="L81" i="4"/>
  <c r="I81" i="4"/>
  <c r="J81" i="4" s="1"/>
  <c r="Y80" i="4"/>
  <c r="U80" i="4"/>
  <c r="AE78" i="4"/>
  <c r="M78" i="4"/>
  <c r="L78" i="4"/>
  <c r="I78" i="4"/>
  <c r="J78" i="4" s="1"/>
  <c r="AE77" i="4"/>
  <c r="M77" i="4"/>
  <c r="L77" i="4"/>
  <c r="I77" i="4"/>
  <c r="J77" i="4" s="1"/>
  <c r="AE76" i="4"/>
  <c r="M76" i="4"/>
  <c r="G76" i="4"/>
  <c r="L76" i="4" s="1"/>
  <c r="AE75" i="4"/>
  <c r="M75" i="4"/>
  <c r="L75" i="4"/>
  <c r="I75" i="4"/>
  <c r="J75" i="4" s="1"/>
  <c r="AE74" i="4"/>
  <c r="M74" i="4"/>
  <c r="G74" i="4"/>
  <c r="AE73" i="4"/>
  <c r="M73" i="4"/>
  <c r="G73" i="4"/>
  <c r="L73" i="4" s="1"/>
  <c r="AE72" i="4"/>
  <c r="M72" i="4"/>
  <c r="G72" i="4"/>
  <c r="AE71" i="4"/>
  <c r="M71" i="4"/>
  <c r="G71" i="4"/>
  <c r="L71" i="4" s="1"/>
  <c r="AE70" i="4"/>
  <c r="M70" i="4"/>
  <c r="L70" i="4"/>
  <c r="I70" i="4"/>
  <c r="J70" i="4" s="1"/>
  <c r="AE69" i="4"/>
  <c r="M69" i="4"/>
  <c r="L69" i="4"/>
  <c r="I69" i="4"/>
  <c r="J69" i="4" s="1"/>
  <c r="AE68" i="4"/>
  <c r="M68" i="4"/>
  <c r="L68" i="4"/>
  <c r="I68" i="4"/>
  <c r="J68" i="4" s="1"/>
  <c r="AE67" i="4"/>
  <c r="M67" i="4"/>
  <c r="L67" i="4"/>
  <c r="I67" i="4"/>
  <c r="J67" i="4" s="1"/>
  <c r="AE66" i="4"/>
  <c r="M66" i="4"/>
  <c r="L66" i="4"/>
  <c r="I66" i="4"/>
  <c r="J66" i="4" s="1"/>
  <c r="AE65" i="4"/>
  <c r="M65" i="4"/>
  <c r="L65" i="4"/>
  <c r="I65" i="4"/>
  <c r="J65" i="4" s="1"/>
  <c r="AE64" i="4"/>
  <c r="M64" i="4"/>
  <c r="L64" i="4"/>
  <c r="I64" i="4"/>
  <c r="J64" i="4" s="1"/>
  <c r="AE63" i="4"/>
  <c r="M63" i="4"/>
  <c r="L63" i="4"/>
  <c r="I63" i="4"/>
  <c r="J63" i="4" s="1"/>
  <c r="AE62" i="4"/>
  <c r="M62" i="4"/>
  <c r="L62" i="4"/>
  <c r="I62" i="4"/>
  <c r="J62" i="4" s="1"/>
  <c r="AE61" i="4"/>
  <c r="M61" i="4"/>
  <c r="L61" i="4"/>
  <c r="I61" i="4"/>
  <c r="J61" i="4" s="1"/>
  <c r="AE60" i="4"/>
  <c r="M60" i="4"/>
  <c r="L60" i="4"/>
  <c r="I60" i="4"/>
  <c r="J60" i="4" s="1"/>
  <c r="Y59" i="4"/>
  <c r="U59" i="4"/>
  <c r="AE57" i="4"/>
  <c r="M57" i="4"/>
  <c r="L57" i="4"/>
  <c r="I57" i="4"/>
  <c r="J57" i="4" s="1"/>
  <c r="AE56" i="4"/>
  <c r="M56" i="4"/>
  <c r="L56" i="4"/>
  <c r="I56" i="4"/>
  <c r="J56" i="4" s="1"/>
  <c r="AE55" i="4"/>
  <c r="M55" i="4"/>
  <c r="L55" i="4"/>
  <c r="I55" i="4"/>
  <c r="J55" i="4" s="1"/>
  <c r="AE54" i="4"/>
  <c r="M54" i="4"/>
  <c r="G54" i="4"/>
  <c r="AE53" i="4"/>
  <c r="M53" i="4"/>
  <c r="L53" i="4"/>
  <c r="I53" i="4"/>
  <c r="J53" i="4" s="1"/>
  <c r="AE52" i="4"/>
  <c r="I52" i="4"/>
  <c r="F52" i="4"/>
  <c r="M52" i="4" s="1"/>
  <c r="AE51" i="4"/>
  <c r="M51" i="4"/>
  <c r="L51" i="4"/>
  <c r="I51" i="4"/>
  <c r="J51" i="4" s="1"/>
  <c r="AE50" i="4"/>
  <c r="M50" i="4"/>
  <c r="L50" i="4"/>
  <c r="I50" i="4"/>
  <c r="J50" i="4" s="1"/>
  <c r="AE49" i="4"/>
  <c r="M49" i="4"/>
  <c r="L49" i="4"/>
  <c r="I49" i="4"/>
  <c r="J49" i="4" s="1"/>
  <c r="AE48" i="4"/>
  <c r="M48" i="4"/>
  <c r="L48" i="4"/>
  <c r="I48" i="4"/>
  <c r="J48" i="4" s="1"/>
  <c r="AA47" i="4"/>
  <c r="Y47" i="4"/>
  <c r="U47" i="4"/>
  <c r="AE45" i="4"/>
  <c r="M45" i="4"/>
  <c r="L45" i="4"/>
  <c r="I45" i="4"/>
  <c r="J45" i="4" s="1"/>
  <c r="AE44" i="4"/>
  <c r="M44" i="4"/>
  <c r="G44" i="4"/>
  <c r="L44" i="4" s="1"/>
  <c r="AE43" i="4"/>
  <c r="M43" i="4"/>
  <c r="L43" i="4"/>
  <c r="I43" i="4"/>
  <c r="J43" i="4" s="1"/>
  <c r="AE42" i="4"/>
  <c r="M42" i="4"/>
  <c r="L42" i="4"/>
  <c r="I42" i="4"/>
  <c r="J42" i="4" s="1"/>
  <c r="AE41" i="4"/>
  <c r="M41" i="4"/>
  <c r="G41" i="4"/>
  <c r="L41" i="4" s="1"/>
  <c r="AE40" i="4"/>
  <c r="M40" i="4"/>
  <c r="G40" i="4"/>
  <c r="I40" i="4" s="1"/>
  <c r="J40" i="4" s="1"/>
  <c r="AE39" i="4"/>
  <c r="M39" i="4"/>
  <c r="G39" i="4"/>
  <c r="L39" i="4" s="1"/>
  <c r="AE38" i="4"/>
  <c r="M38" i="4"/>
  <c r="G38" i="4"/>
  <c r="L38" i="4" s="1"/>
  <c r="Y37" i="4"/>
  <c r="U37" i="4"/>
  <c r="AE35" i="4"/>
  <c r="M35" i="4"/>
  <c r="L35" i="4"/>
  <c r="I35" i="4"/>
  <c r="J35" i="4" s="1"/>
  <c r="AE34" i="4"/>
  <c r="M34" i="4"/>
  <c r="L34" i="4"/>
  <c r="I34" i="4"/>
  <c r="J34" i="4" s="1"/>
  <c r="AE33" i="4"/>
  <c r="M33" i="4"/>
  <c r="L33" i="4"/>
  <c r="I33" i="4"/>
  <c r="J33" i="4" s="1"/>
  <c r="AE32" i="4"/>
  <c r="M32" i="4"/>
  <c r="L32" i="4"/>
  <c r="I32" i="4"/>
  <c r="J32" i="4" s="1"/>
  <c r="AE31" i="4"/>
  <c r="M31" i="4"/>
  <c r="G31" i="4"/>
  <c r="L31" i="4" s="1"/>
  <c r="AE30" i="4"/>
  <c r="M30" i="4"/>
  <c r="L30" i="4"/>
  <c r="I30" i="4"/>
  <c r="J30" i="4" s="1"/>
  <c r="AE29" i="4"/>
  <c r="M29" i="4"/>
  <c r="L29" i="4"/>
  <c r="I29" i="4"/>
  <c r="J29" i="4" s="1"/>
  <c r="AE28" i="4"/>
  <c r="M28" i="4"/>
  <c r="L28" i="4"/>
  <c r="I28" i="4"/>
  <c r="J28" i="4" s="1"/>
  <c r="Y27" i="4"/>
  <c r="U27" i="4"/>
  <c r="AE25" i="4"/>
  <c r="I25" i="4"/>
  <c r="J25" i="4" s="1"/>
  <c r="F25" i="4"/>
  <c r="L25" i="4" s="1"/>
  <c r="M24" i="4"/>
  <c r="L24" i="4"/>
  <c r="I24" i="4"/>
  <c r="J24" i="4" s="1"/>
  <c r="AE23" i="4"/>
  <c r="M23" i="4"/>
  <c r="L23" i="4"/>
  <c r="I23" i="4"/>
  <c r="J23" i="4" s="1"/>
  <c r="AE22" i="4"/>
  <c r="M22" i="4"/>
  <c r="L22" i="4"/>
  <c r="I22" i="4"/>
  <c r="J22" i="4" s="1"/>
  <c r="AE21" i="4"/>
  <c r="M21" i="4"/>
  <c r="L21" i="4"/>
  <c r="I21" i="4"/>
  <c r="J21" i="4" s="1"/>
  <c r="AE20" i="4"/>
  <c r="M20" i="4"/>
  <c r="L20" i="4"/>
  <c r="I20" i="4"/>
  <c r="J20" i="4" s="1"/>
  <c r="AE19" i="4"/>
  <c r="M19" i="4"/>
  <c r="L19" i="4"/>
  <c r="I19" i="4"/>
  <c r="J19" i="4" s="1"/>
  <c r="AE18" i="4"/>
  <c r="M18" i="4"/>
  <c r="G18" i="4"/>
  <c r="I18" i="4" s="1"/>
  <c r="J18" i="4" s="1"/>
  <c r="AE17" i="4"/>
  <c r="M17" i="4"/>
  <c r="L17" i="4"/>
  <c r="I17" i="4"/>
  <c r="J17" i="4" s="1"/>
  <c r="AE16" i="4"/>
  <c r="M16" i="4"/>
  <c r="L16" i="4"/>
  <c r="I16" i="4"/>
  <c r="J16" i="4" s="1"/>
  <c r="AE15" i="4"/>
  <c r="M15" i="4"/>
  <c r="L15" i="4"/>
  <c r="I15" i="4"/>
  <c r="J15" i="4" s="1"/>
  <c r="AE14" i="4"/>
  <c r="M14" i="4"/>
  <c r="G14" i="4"/>
  <c r="L14" i="4" s="1"/>
  <c r="AE13" i="4"/>
  <c r="M13" i="4"/>
  <c r="G13" i="4"/>
  <c r="I13" i="4" s="1"/>
  <c r="J13" i="4" s="1"/>
  <c r="AE12" i="4"/>
  <c r="M12" i="4"/>
  <c r="G12" i="4"/>
  <c r="I12" i="4" s="1"/>
  <c r="J12" i="4" s="1"/>
  <c r="AE11" i="4"/>
  <c r="M11" i="4"/>
  <c r="G11" i="4"/>
  <c r="L11" i="4" s="1"/>
  <c r="AE10" i="4"/>
  <c r="M10" i="4"/>
  <c r="L10" i="4"/>
  <c r="G10" i="4"/>
  <c r="I10" i="4" s="1"/>
  <c r="J10" i="4" s="1"/>
  <c r="AE9" i="4"/>
  <c r="M9" i="4"/>
  <c r="G9" i="4"/>
  <c r="I9" i="4" s="1"/>
  <c r="J9" i="4" s="1"/>
  <c r="AE8" i="4"/>
  <c r="M8" i="4"/>
  <c r="I8" i="4"/>
  <c r="J8" i="4" s="1"/>
  <c r="G8" i="4"/>
  <c r="L8" i="4" s="1"/>
  <c r="L127" i="4" l="1"/>
  <c r="N127" i="4" s="1"/>
  <c r="AA127" i="4" s="1"/>
  <c r="AF127" i="4" s="1"/>
  <c r="AG127" i="4" s="1"/>
  <c r="N147" i="4"/>
  <c r="AA147" i="4" s="1"/>
  <c r="AF147" i="4" s="1"/>
  <c r="AG147" i="4" s="1"/>
  <c r="N148" i="4"/>
  <c r="AA148" i="4" s="1"/>
  <c r="AF148" i="4" s="1"/>
  <c r="AG148" i="4" s="1"/>
  <c r="N155" i="4"/>
  <c r="AC155" i="4" s="1"/>
  <c r="AF155" i="4" s="1"/>
  <c r="AG155" i="4" s="1"/>
  <c r="N165" i="4"/>
  <c r="AC165" i="4" s="1"/>
  <c r="N106" i="4"/>
  <c r="N14" i="4"/>
  <c r="AA14" i="4" s="1"/>
  <c r="N16" i="4"/>
  <c r="AC16" i="4" s="1"/>
  <c r="N17" i="4"/>
  <c r="AC17" i="4" s="1"/>
  <c r="N24" i="4"/>
  <c r="U24" i="4" s="1"/>
  <c r="AF24" i="4" s="1"/>
  <c r="AG24" i="4" s="1"/>
  <c r="N82" i="4"/>
  <c r="N95" i="4"/>
  <c r="AC95" i="4" s="1"/>
  <c r="N115" i="4"/>
  <c r="AA115" i="4" s="1"/>
  <c r="N138" i="4"/>
  <c r="AA138" i="4" s="1"/>
  <c r="AF138" i="4" s="1"/>
  <c r="AG138" i="4" s="1"/>
  <c r="N140" i="4"/>
  <c r="AA140" i="4" s="1"/>
  <c r="AF140" i="4" s="1"/>
  <c r="AG140" i="4" s="1"/>
  <c r="N116" i="4"/>
  <c r="AC116" i="4" s="1"/>
  <c r="N118" i="4"/>
  <c r="AA118" i="4" s="1"/>
  <c r="N29" i="4"/>
  <c r="AC29" i="4" s="1"/>
  <c r="I38" i="4"/>
  <c r="J38" i="4" s="1"/>
  <c r="I39" i="4"/>
  <c r="J39" i="4" s="1"/>
  <c r="N57" i="4"/>
  <c r="AC57" i="4" s="1"/>
  <c r="AF57" i="4" s="1"/>
  <c r="AG57" i="4" s="1"/>
  <c r="N152" i="4"/>
  <c r="AC152" i="4" s="1"/>
  <c r="AF152" i="4" s="1"/>
  <c r="AG152" i="4" s="1"/>
  <c r="N110" i="4"/>
  <c r="AC110" i="4" s="1"/>
  <c r="N111" i="4"/>
  <c r="AC111" i="4" s="1"/>
  <c r="N21" i="4"/>
  <c r="AC21" i="4" s="1"/>
  <c r="N23" i="4"/>
  <c r="AC23" i="4" s="1"/>
  <c r="N49" i="4"/>
  <c r="N51" i="4"/>
  <c r="AC51" i="4" s="1"/>
  <c r="AF51" i="4" s="1"/>
  <c r="AG51" i="4" s="1"/>
  <c r="N73" i="4"/>
  <c r="AA73" i="4" s="1"/>
  <c r="N135" i="4"/>
  <c r="AA135" i="4" s="1"/>
  <c r="AF135" i="4" s="1"/>
  <c r="AG135" i="4" s="1"/>
  <c r="N151" i="4"/>
  <c r="AC151" i="4" s="1"/>
  <c r="AF151" i="4" s="1"/>
  <c r="AG151" i="4" s="1"/>
  <c r="N160" i="4"/>
  <c r="AC160" i="4" s="1"/>
  <c r="N35" i="4"/>
  <c r="AA35" i="4" s="1"/>
  <c r="N62" i="4"/>
  <c r="AC62" i="4" s="1"/>
  <c r="N76" i="4"/>
  <c r="AC76" i="4" s="1"/>
  <c r="N77" i="4"/>
  <c r="AC77" i="4" s="1"/>
  <c r="N78" i="4"/>
  <c r="AA78" i="4" s="1"/>
  <c r="N96" i="4"/>
  <c r="AC96" i="4" s="1"/>
  <c r="N113" i="4"/>
  <c r="AC113" i="4" s="1"/>
  <c r="N130" i="4"/>
  <c r="AA130" i="4" s="1"/>
  <c r="AF130" i="4" s="1"/>
  <c r="AG130" i="4" s="1"/>
  <c r="N134" i="4"/>
  <c r="AA134" i="4" s="1"/>
  <c r="AF134" i="4" s="1"/>
  <c r="AG134" i="4" s="1"/>
  <c r="I14" i="4"/>
  <c r="J14" i="4" s="1"/>
  <c r="N55" i="4"/>
  <c r="AC55" i="4" s="1"/>
  <c r="AF55" i="4" s="1"/>
  <c r="AG55" i="4" s="1"/>
  <c r="I73" i="4"/>
  <c r="J73" i="4" s="1"/>
  <c r="N84" i="4"/>
  <c r="AC84" i="4" s="1"/>
  <c r="J108" i="4"/>
  <c r="N120" i="4"/>
  <c r="AA120" i="4" s="1"/>
  <c r="N8" i="4"/>
  <c r="AA8" i="4" s="1"/>
  <c r="L12" i="4"/>
  <c r="N12" i="4" s="1"/>
  <c r="AC12" i="4" s="1"/>
  <c r="N15" i="4"/>
  <c r="AC15" i="4" s="1"/>
  <c r="N19" i="4"/>
  <c r="AC19" i="4" s="1"/>
  <c r="N22" i="4"/>
  <c r="AA22" i="4" s="1"/>
  <c r="I31" i="4"/>
  <c r="J31" i="4" s="1"/>
  <c r="N48" i="4"/>
  <c r="AC48" i="4" s="1"/>
  <c r="AF48" i="4" s="1"/>
  <c r="AG48" i="4" s="1"/>
  <c r="N53" i="4"/>
  <c r="AC53" i="4" s="1"/>
  <c r="AF53" i="4" s="1"/>
  <c r="AG53" i="4" s="1"/>
  <c r="N86" i="4"/>
  <c r="AA86" i="4" s="1"/>
  <c r="N87" i="4"/>
  <c r="AC87" i="4" s="1"/>
  <c r="J104" i="4"/>
  <c r="L105" i="4"/>
  <c r="N105" i="4" s="1"/>
  <c r="AA105" i="4" s="1"/>
  <c r="J107" i="4"/>
  <c r="L108" i="4"/>
  <c r="N108" i="4" s="1"/>
  <c r="AA108" i="4" s="1"/>
  <c r="N112" i="4"/>
  <c r="AC112" i="4" s="1"/>
  <c r="L146" i="4"/>
  <c r="N146" i="4" s="1"/>
  <c r="AA146" i="4" s="1"/>
  <c r="AF146" i="4" s="1"/>
  <c r="AG146" i="4" s="1"/>
  <c r="J159" i="4"/>
  <c r="J166" i="4"/>
  <c r="N10" i="4"/>
  <c r="AC10" i="4" s="1"/>
  <c r="N39" i="4"/>
  <c r="AC39" i="4" s="1"/>
  <c r="N45" i="4"/>
  <c r="AA45" i="4" s="1"/>
  <c r="N90" i="4"/>
  <c r="AC90" i="4" s="1"/>
  <c r="N91" i="4"/>
  <c r="AA91" i="4" s="1"/>
  <c r="N97" i="4"/>
  <c r="AA97" i="4" s="1"/>
  <c r="L100" i="4"/>
  <c r="L101" i="4"/>
  <c r="N101" i="4" s="1"/>
  <c r="N114" i="4"/>
  <c r="AC114" i="4" s="1"/>
  <c r="N117" i="4"/>
  <c r="AA117" i="4" s="1"/>
  <c r="N119" i="4"/>
  <c r="J127" i="4"/>
  <c r="N142" i="4"/>
  <c r="AA142" i="4" s="1"/>
  <c r="AF142" i="4" s="1"/>
  <c r="AG142" i="4" s="1"/>
  <c r="N162" i="4"/>
  <c r="AA162" i="4" s="1"/>
  <c r="L166" i="4"/>
  <c r="N166" i="4" s="1"/>
  <c r="N71" i="4"/>
  <c r="AA114" i="4"/>
  <c r="N20" i="4"/>
  <c r="AA20" i="4" s="1"/>
  <c r="N30" i="4"/>
  <c r="AC30" i="4" s="1"/>
  <c r="N38" i="4"/>
  <c r="AA38" i="4" s="1"/>
  <c r="L40" i="4"/>
  <c r="N40" i="4" s="1"/>
  <c r="I41" i="4"/>
  <c r="J41" i="4" s="1"/>
  <c r="N60" i="4"/>
  <c r="AA60" i="4" s="1"/>
  <c r="N67" i="4"/>
  <c r="AC67" i="4" s="1"/>
  <c r="N69" i="4"/>
  <c r="AC69" i="4" s="1"/>
  <c r="I76" i="4"/>
  <c r="J76" i="4" s="1"/>
  <c r="N88" i="4"/>
  <c r="AA88" i="4" s="1"/>
  <c r="AC91" i="4"/>
  <c r="AF91" i="4" s="1"/>
  <c r="AG91" i="4" s="1"/>
  <c r="N103" i="4"/>
  <c r="AA103" i="4" s="1"/>
  <c r="N129" i="4"/>
  <c r="AA129" i="4" s="1"/>
  <c r="AF129" i="4" s="1"/>
  <c r="AG129" i="4" s="1"/>
  <c r="N133" i="4"/>
  <c r="AA133" i="4" s="1"/>
  <c r="AF133" i="4" s="1"/>
  <c r="AG133" i="4" s="1"/>
  <c r="N137" i="4"/>
  <c r="AA137" i="4" s="1"/>
  <c r="AF137" i="4" s="1"/>
  <c r="AG137" i="4" s="1"/>
  <c r="N141" i="4"/>
  <c r="AA141" i="4" s="1"/>
  <c r="AF141" i="4" s="1"/>
  <c r="AG141" i="4" s="1"/>
  <c r="J150" i="4"/>
  <c r="N161" i="4"/>
  <c r="AC161" i="4" s="1"/>
  <c r="AA165" i="4"/>
  <c r="AF165" i="4" s="1"/>
  <c r="AG165" i="4" s="1"/>
  <c r="J167" i="4"/>
  <c r="N31" i="4"/>
  <c r="AA31" i="4" s="1"/>
  <c r="N32" i="4"/>
  <c r="AA32" i="4" s="1"/>
  <c r="N33" i="4"/>
  <c r="AC33" i="4" s="1"/>
  <c r="N34" i="4"/>
  <c r="N44" i="4"/>
  <c r="AC44" i="4" s="1"/>
  <c r="N50" i="4"/>
  <c r="AC50" i="4" s="1"/>
  <c r="AF50" i="4" s="1"/>
  <c r="AG50" i="4" s="1"/>
  <c r="J52" i="4"/>
  <c r="N56" i="4"/>
  <c r="AC56" i="4" s="1"/>
  <c r="AF56" i="4" s="1"/>
  <c r="AG56" i="4" s="1"/>
  <c r="N63" i="4"/>
  <c r="AC63" i="4" s="1"/>
  <c r="N65" i="4"/>
  <c r="AC65" i="4" s="1"/>
  <c r="N68" i="4"/>
  <c r="N70" i="4"/>
  <c r="I71" i="4"/>
  <c r="J71" i="4" s="1"/>
  <c r="N75" i="4"/>
  <c r="AC75" i="4" s="1"/>
  <c r="N83" i="4"/>
  <c r="N92" i="4"/>
  <c r="N99" i="4"/>
  <c r="AC99" i="4" s="1"/>
  <c r="I135" i="4"/>
  <c r="J135" i="4" s="1"/>
  <c r="N136" i="4"/>
  <c r="AA136" i="4" s="1"/>
  <c r="AF136" i="4" s="1"/>
  <c r="AG136" i="4" s="1"/>
  <c r="N139" i="4"/>
  <c r="AC139" i="4" s="1"/>
  <c r="AF139" i="4" s="1"/>
  <c r="AG139" i="4" s="1"/>
  <c r="N145" i="4"/>
  <c r="AC145" i="4" s="1"/>
  <c r="L150" i="4"/>
  <c r="N150" i="4" s="1"/>
  <c r="AA150" i="4" s="1"/>
  <c r="AF150" i="4" s="1"/>
  <c r="AG150" i="4" s="1"/>
  <c r="N153" i="4"/>
  <c r="AC153" i="4" s="1"/>
  <c r="AF153" i="4" s="1"/>
  <c r="AG153" i="4" s="1"/>
  <c r="I155" i="4"/>
  <c r="J155" i="4" s="1"/>
  <c r="J164" i="4"/>
  <c r="M167" i="4"/>
  <c r="N167" i="4" s="1"/>
  <c r="AA167" i="4" s="1"/>
  <c r="N41" i="4"/>
  <c r="AC41" i="4" s="1"/>
  <c r="N42" i="4"/>
  <c r="AA42" i="4" s="1"/>
  <c r="N43" i="4"/>
  <c r="AA43" i="4" s="1"/>
  <c r="L52" i="4"/>
  <c r="N52" i="4" s="1"/>
  <c r="AC52" i="4" s="1"/>
  <c r="AF52" i="4" s="1"/>
  <c r="AG52" i="4" s="1"/>
  <c r="N61" i="4"/>
  <c r="AC61" i="4" s="1"/>
  <c r="N64" i="4"/>
  <c r="N66" i="4"/>
  <c r="M100" i="4"/>
  <c r="L102" i="4"/>
  <c r="N102" i="4" s="1"/>
  <c r="L104" i="4"/>
  <c r="N104" i="4" s="1"/>
  <c r="N123" i="4"/>
  <c r="N122" i="4" s="1"/>
  <c r="N126" i="4"/>
  <c r="AA126" i="4" s="1"/>
  <c r="N128" i="4"/>
  <c r="AA128" i="4" s="1"/>
  <c r="AF128" i="4" s="1"/>
  <c r="AG128" i="4" s="1"/>
  <c r="N131" i="4"/>
  <c r="AA131" i="4" s="1"/>
  <c r="AF131" i="4" s="1"/>
  <c r="AG131" i="4" s="1"/>
  <c r="N132" i="4"/>
  <c r="AA132" i="4" s="1"/>
  <c r="AF132" i="4" s="1"/>
  <c r="AG132" i="4" s="1"/>
  <c r="I136" i="4"/>
  <c r="J136" i="4" s="1"/>
  <c r="N143" i="4"/>
  <c r="AC143" i="4" s="1"/>
  <c r="AF143" i="4" s="1"/>
  <c r="AG143" i="4" s="1"/>
  <c r="I145" i="4"/>
  <c r="J145" i="4" s="1"/>
  <c r="N154" i="4"/>
  <c r="AC154" i="4" s="1"/>
  <c r="AF154" i="4" s="1"/>
  <c r="AG154" i="4" s="1"/>
  <c r="I156" i="4"/>
  <c r="J156" i="4" s="1"/>
  <c r="L159" i="4"/>
  <c r="N159" i="4" s="1"/>
  <c r="N163" i="4"/>
  <c r="AC163" i="4" s="1"/>
  <c r="AA10" i="4"/>
  <c r="N11" i="4"/>
  <c r="AC49" i="4"/>
  <c r="AF49" i="4" s="1"/>
  <c r="AG49" i="4" s="1"/>
  <c r="AC14" i="4"/>
  <c r="AA34" i="4"/>
  <c r="AC34" i="4"/>
  <c r="L94" i="4"/>
  <c r="N94" i="4" s="1"/>
  <c r="I94" i="4"/>
  <c r="J94" i="4" s="1"/>
  <c r="L109" i="4"/>
  <c r="N109" i="4" s="1"/>
  <c r="I109" i="4"/>
  <c r="J109" i="4" s="1"/>
  <c r="L9" i="4"/>
  <c r="N9" i="4" s="1"/>
  <c r="I11" i="4"/>
  <c r="J11" i="4" s="1"/>
  <c r="L13" i="4"/>
  <c r="N13" i="4" s="1"/>
  <c r="AA15" i="4"/>
  <c r="AF15" i="4" s="1"/>
  <c r="AG15" i="4" s="1"/>
  <c r="L18" i="4"/>
  <c r="N18" i="4" s="1"/>
  <c r="M25" i="4"/>
  <c r="N25" i="4" s="1"/>
  <c r="I74" i="4"/>
  <c r="J74" i="4" s="1"/>
  <c r="L74" i="4"/>
  <c r="N74" i="4" s="1"/>
  <c r="AC82" i="4"/>
  <c r="AA82" i="4"/>
  <c r="AA110" i="4"/>
  <c r="N28" i="4"/>
  <c r="I44" i="4"/>
  <c r="J44" i="4" s="1"/>
  <c r="I54" i="4"/>
  <c r="J54" i="4" s="1"/>
  <c r="L54" i="4"/>
  <c r="N54" i="4" s="1"/>
  <c r="L72" i="4"/>
  <c r="N72" i="4" s="1"/>
  <c r="I72" i="4"/>
  <c r="J72" i="4" s="1"/>
  <c r="AA106" i="4"/>
  <c r="AC106" i="4"/>
  <c r="N81" i="4"/>
  <c r="N89" i="4"/>
  <c r="L98" i="4"/>
  <c r="N98" i="4" s="1"/>
  <c r="M107" i="4"/>
  <c r="N107" i="4" s="1"/>
  <c r="AC118" i="4"/>
  <c r="N85" i="4"/>
  <c r="N93" i="4"/>
  <c r="AA113" i="4"/>
  <c r="M164" i="4"/>
  <c r="N164" i="4" s="1"/>
  <c r="J144" i="4"/>
  <c r="L144" i="4"/>
  <c r="N144" i="4" s="1"/>
  <c r="AC144" i="4" s="1"/>
  <c r="AF144" i="4" s="1"/>
  <c r="AG144" i="4" s="1"/>
  <c r="N156" i="4"/>
  <c r="I123" i="4"/>
  <c r="J123" i="4" s="1"/>
  <c r="L149" i="4"/>
  <c r="N149" i="4" s="1"/>
  <c r="AA149" i="4" s="1"/>
  <c r="AF149" i="4" s="1"/>
  <c r="AG149" i="4" s="1"/>
  <c r="N172" i="1"/>
  <c r="AA116" i="4" l="1"/>
  <c r="AA163" i="4"/>
  <c r="AC103" i="4"/>
  <c r="AA16" i="4"/>
  <c r="AC8" i="4"/>
  <c r="AF8" i="4" s="1"/>
  <c r="AG8" i="4" s="1"/>
  <c r="AC78" i="4"/>
  <c r="AA161" i="4"/>
  <c r="AC88" i="4"/>
  <c r="AF88" i="4" s="1"/>
  <c r="AG88" i="4" s="1"/>
  <c r="AC105" i="4"/>
  <c r="AF105" i="4" s="1"/>
  <c r="AG105" i="4" s="1"/>
  <c r="AA67" i="4"/>
  <c r="AF67" i="4" s="1"/>
  <c r="AG67" i="4" s="1"/>
  <c r="AA123" i="4"/>
  <c r="AA122" i="4" s="1"/>
  <c r="AC115" i="4"/>
  <c r="AF115" i="4" s="1"/>
  <c r="AG115" i="4" s="1"/>
  <c r="AC86" i="4"/>
  <c r="AF86" i="4" s="1"/>
  <c r="AG86" i="4" s="1"/>
  <c r="AA111" i="4"/>
  <c r="AF111" i="4" s="1"/>
  <c r="AG111" i="4" s="1"/>
  <c r="AC20" i="4"/>
  <c r="AA17" i="4"/>
  <c r="AF17" i="4" s="1"/>
  <c r="AG17" i="4" s="1"/>
  <c r="AC162" i="4"/>
  <c r="AF162" i="4" s="1"/>
  <c r="AG162" i="4" s="1"/>
  <c r="AA21" i="4"/>
  <c r="AF21" i="4" s="1"/>
  <c r="AG21" i="4" s="1"/>
  <c r="AC35" i="4"/>
  <c r="AF35" i="4" s="1"/>
  <c r="AG35" i="4" s="1"/>
  <c r="AC108" i="4"/>
  <c r="AC42" i="4"/>
  <c r="AF42" i="4" s="1"/>
  <c r="AG42" i="4" s="1"/>
  <c r="AC38" i="4"/>
  <c r="AF38" i="4" s="1"/>
  <c r="AG38" i="4" s="1"/>
  <c r="AA84" i="4"/>
  <c r="AF84" i="4" s="1"/>
  <c r="AG84" i="4" s="1"/>
  <c r="AF14" i="4"/>
  <c r="AG14" i="4" s="1"/>
  <c r="AC32" i="4"/>
  <c r="AF32" i="4" s="1"/>
  <c r="AG32" i="4" s="1"/>
  <c r="AA76" i="4"/>
  <c r="AF76" i="4" s="1"/>
  <c r="AG76" i="4" s="1"/>
  <c r="AA95" i="4"/>
  <c r="AF95" i="4" s="1"/>
  <c r="AG95" i="4" s="1"/>
  <c r="AA96" i="4"/>
  <c r="AF96" i="4" s="1"/>
  <c r="AG96" i="4" s="1"/>
  <c r="AA19" i="4"/>
  <c r="AF19" i="4" s="1"/>
  <c r="AG19" i="4" s="1"/>
  <c r="AA145" i="4"/>
  <c r="AF145" i="4" s="1"/>
  <c r="AG145" i="4" s="1"/>
  <c r="AA12" i="4"/>
  <c r="AF12" i="4" s="1"/>
  <c r="AG12" i="4" s="1"/>
  <c r="AA87" i="4"/>
  <c r="AF87" i="4" s="1"/>
  <c r="AG87" i="4" s="1"/>
  <c r="AA23" i="4"/>
  <c r="AA160" i="4"/>
  <c r="AF160" i="4" s="1"/>
  <c r="AG160" i="4" s="1"/>
  <c r="AA90" i="4"/>
  <c r="AF90" i="4" s="1"/>
  <c r="AG90" i="4" s="1"/>
  <c r="AA99" i="4"/>
  <c r="AF99" i="4" s="1"/>
  <c r="AG99" i="4" s="1"/>
  <c r="AA29" i="4"/>
  <c r="AF29" i="4" s="1"/>
  <c r="AG29" i="4" s="1"/>
  <c r="AC31" i="4"/>
  <c r="AF31" i="4" s="1"/>
  <c r="AG31" i="4" s="1"/>
  <c r="AC120" i="4"/>
  <c r="AF120" i="4" s="1"/>
  <c r="AG120" i="4" s="1"/>
  <c r="AC40" i="4"/>
  <c r="AA40" i="4"/>
  <c r="AC97" i="4"/>
  <c r="AF97" i="4" s="1"/>
  <c r="AG97" i="4" s="1"/>
  <c r="AA112" i="4"/>
  <c r="AC73" i="4"/>
  <c r="AF73" i="4" s="1"/>
  <c r="AG73" i="4" s="1"/>
  <c r="AA77" i="4"/>
  <c r="AF77" i="4" s="1"/>
  <c r="AG77" i="4" s="1"/>
  <c r="AA33" i="4"/>
  <c r="AF33" i="4" s="1"/>
  <c r="AG33" i="4" s="1"/>
  <c r="AF106" i="4"/>
  <c r="AG106" i="4" s="1"/>
  <c r="AA75" i="4"/>
  <c r="AF75" i="4" s="1"/>
  <c r="AG75" i="4" s="1"/>
  <c r="AC167" i="4"/>
  <c r="AF167" i="4" s="1"/>
  <c r="AG167" i="4" s="1"/>
  <c r="AA30" i="4"/>
  <c r="AF30" i="4" s="1"/>
  <c r="AG30" i="4" s="1"/>
  <c r="AC43" i="4"/>
  <c r="AF43" i="4" s="1"/>
  <c r="AG43" i="4" s="1"/>
  <c r="AA62" i="4"/>
  <c r="AF62" i="4" s="1"/>
  <c r="AG62" i="4" s="1"/>
  <c r="U23" i="4"/>
  <c r="U7" i="4" s="1"/>
  <c r="U170" i="4" s="1"/>
  <c r="U172" i="4" s="1"/>
  <c r="W172" i="4" s="1"/>
  <c r="Y23" i="4"/>
  <c r="Y7" i="4" s="1"/>
  <c r="AA65" i="4"/>
  <c r="AF65" i="4" s="1"/>
  <c r="AG65" i="4" s="1"/>
  <c r="AC45" i="4"/>
  <c r="AF45" i="4" s="1"/>
  <c r="AG45" i="4" s="1"/>
  <c r="AC101" i="4"/>
  <c r="AA101" i="4"/>
  <c r="AA63" i="4"/>
  <c r="AF63" i="4" s="1"/>
  <c r="AG63" i="4" s="1"/>
  <c r="AF82" i="4"/>
  <c r="AG82" i="4" s="1"/>
  <c r="AA69" i="4"/>
  <c r="AF69" i="4" s="1"/>
  <c r="AG69" i="4" s="1"/>
  <c r="AC22" i="4"/>
  <c r="AF22" i="4" s="1"/>
  <c r="AG22" i="4" s="1"/>
  <c r="AA44" i="4"/>
  <c r="AF44" i="4" s="1"/>
  <c r="AG44" i="4" s="1"/>
  <c r="N100" i="4"/>
  <c r="N80" i="4" s="1"/>
  <c r="AA39" i="4"/>
  <c r="AF39" i="4" s="1"/>
  <c r="AG39" i="4" s="1"/>
  <c r="AF116" i="4"/>
  <c r="AG116" i="4" s="1"/>
  <c r="AC117" i="4"/>
  <c r="AF117" i="4" s="1"/>
  <c r="AG117" i="4" s="1"/>
  <c r="N37" i="4"/>
  <c r="AA119" i="4"/>
  <c r="AC119" i="4"/>
  <c r="AC104" i="4"/>
  <c r="AA104" i="4"/>
  <c r="AC102" i="4"/>
  <c r="AA102" i="4"/>
  <c r="AF113" i="4"/>
  <c r="AG113" i="4" s="1"/>
  <c r="AF163" i="4"/>
  <c r="AG163" i="4" s="1"/>
  <c r="AA61" i="4"/>
  <c r="AF61" i="4" s="1"/>
  <c r="AG61" i="4" s="1"/>
  <c r="J170" i="4"/>
  <c r="AA41" i="4"/>
  <c r="AF41" i="4" s="1"/>
  <c r="AG41" i="4" s="1"/>
  <c r="AF78" i="4"/>
  <c r="AG78" i="4" s="1"/>
  <c r="AF16" i="4"/>
  <c r="AG16" i="4" s="1"/>
  <c r="AC66" i="4"/>
  <c r="AA66" i="4"/>
  <c r="AA83" i="4"/>
  <c r="AC83" i="4"/>
  <c r="AC68" i="4"/>
  <c r="AA68" i="4"/>
  <c r="AF114" i="4"/>
  <c r="AG114" i="4" s="1"/>
  <c r="AF108" i="4"/>
  <c r="AG108" i="4" s="1"/>
  <c r="AC60" i="4"/>
  <c r="AF60" i="4" s="1"/>
  <c r="AG60" i="4" s="1"/>
  <c r="AC64" i="4"/>
  <c r="AA64" i="4"/>
  <c r="AA71" i="4"/>
  <c r="AC71" i="4"/>
  <c r="AC92" i="4"/>
  <c r="AA92" i="4"/>
  <c r="AC70" i="4"/>
  <c r="AA70" i="4"/>
  <c r="AC54" i="4"/>
  <c r="N47" i="4"/>
  <c r="AC72" i="4"/>
  <c r="AA72" i="4"/>
  <c r="N59" i="4"/>
  <c r="AC9" i="4"/>
  <c r="AA9" i="4"/>
  <c r="N7" i="4"/>
  <c r="AA98" i="4"/>
  <c r="AC98" i="4"/>
  <c r="AA13" i="4"/>
  <c r="AC13" i="4"/>
  <c r="AA166" i="4"/>
  <c r="AC166" i="4"/>
  <c r="AC109" i="4"/>
  <c r="AA109" i="4"/>
  <c r="AC89" i="4"/>
  <c r="AA89" i="4"/>
  <c r="AC156" i="4"/>
  <c r="AC125" i="4" s="1"/>
  <c r="Y156" i="4"/>
  <c r="N125" i="4"/>
  <c r="AA164" i="4"/>
  <c r="AC164" i="4"/>
  <c r="AC81" i="4"/>
  <c r="AA81" i="4"/>
  <c r="M170" i="4"/>
  <c r="L170" i="4"/>
  <c r="AF123" i="4"/>
  <c r="AG123" i="4" s="1"/>
  <c r="AF112" i="4"/>
  <c r="AG112" i="4" s="1"/>
  <c r="AF10" i="4"/>
  <c r="AG10" i="4" s="1"/>
  <c r="N158" i="4"/>
  <c r="AA159" i="4"/>
  <c r="AC159" i="4"/>
  <c r="AF161" i="4"/>
  <c r="AG161" i="4" s="1"/>
  <c r="AC85" i="4"/>
  <c r="AA85" i="4"/>
  <c r="AF118" i="4"/>
  <c r="AG118" i="4" s="1"/>
  <c r="AC107" i="4"/>
  <c r="AA107" i="4"/>
  <c r="AF103" i="4"/>
  <c r="AG103" i="4" s="1"/>
  <c r="AF110" i="4"/>
  <c r="AG110" i="4" s="1"/>
  <c r="AF34" i="4"/>
  <c r="AG34" i="4" s="1"/>
  <c r="AF20" i="4"/>
  <c r="AG20" i="4" s="1"/>
  <c r="AA74" i="4"/>
  <c r="AC74" i="4"/>
  <c r="AA94" i="4"/>
  <c r="AC94" i="4"/>
  <c r="AC11" i="4"/>
  <c r="AA11" i="4"/>
  <c r="AC18" i="4"/>
  <c r="AA18" i="4"/>
  <c r="AF126" i="4"/>
  <c r="AG126" i="4" s="1"/>
  <c r="AC93" i="4"/>
  <c r="AA93" i="4"/>
  <c r="N27" i="4"/>
  <c r="AC28" i="4"/>
  <c r="AA28" i="4"/>
  <c r="AC25" i="4"/>
  <c r="AA25" i="4"/>
  <c r="G145" i="1"/>
  <c r="H156" i="1"/>
  <c r="M156" i="1" s="1"/>
  <c r="G156" i="1"/>
  <c r="O39" i="2"/>
  <c r="R39" i="2" s="1"/>
  <c r="S39" i="2"/>
  <c r="L39" i="2"/>
  <c r="L38" i="2"/>
  <c r="S38" i="2"/>
  <c r="R38" i="2"/>
  <c r="S37" i="2"/>
  <c r="R37" i="2"/>
  <c r="L37" i="2"/>
  <c r="AC155" i="1"/>
  <c r="AC154" i="1"/>
  <c r="AC153" i="1"/>
  <c r="AC152" i="1"/>
  <c r="AC151" i="1"/>
  <c r="AC150" i="1"/>
  <c r="AC149" i="1"/>
  <c r="AC148" i="1"/>
  <c r="AC147" i="1"/>
  <c r="AC146" i="1"/>
  <c r="AC145" i="1"/>
  <c r="AC144" i="1"/>
  <c r="AC143" i="1"/>
  <c r="AC142" i="1"/>
  <c r="AC141" i="1"/>
  <c r="AC140" i="1"/>
  <c r="AC139" i="1"/>
  <c r="AC138" i="1"/>
  <c r="AC137" i="1"/>
  <c r="AC136" i="1"/>
  <c r="AC135" i="1"/>
  <c r="AC134" i="1"/>
  <c r="AC133" i="1"/>
  <c r="AC132" i="1"/>
  <c r="AC131" i="1"/>
  <c r="AC130" i="1"/>
  <c r="AC129" i="1"/>
  <c r="AC128" i="1"/>
  <c r="AC127" i="1"/>
  <c r="AC126" i="1"/>
  <c r="AC123" i="1"/>
  <c r="AC120" i="1"/>
  <c r="AC119" i="1"/>
  <c r="AC118" i="1"/>
  <c r="AC117" i="1"/>
  <c r="AC116" i="1"/>
  <c r="AC115" i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7" i="1"/>
  <c r="AC56" i="1"/>
  <c r="AC55" i="1"/>
  <c r="AC54" i="1"/>
  <c r="AC53" i="1"/>
  <c r="AC52" i="1"/>
  <c r="AC51" i="1"/>
  <c r="AC50" i="1"/>
  <c r="AC49" i="1"/>
  <c r="AC48" i="1"/>
  <c r="AC45" i="1"/>
  <c r="AC44" i="1"/>
  <c r="AC43" i="1"/>
  <c r="AC42" i="1"/>
  <c r="AC41" i="1"/>
  <c r="AC40" i="1"/>
  <c r="AC39" i="1"/>
  <c r="AC38" i="1"/>
  <c r="AC35" i="1"/>
  <c r="AC34" i="1"/>
  <c r="AC33" i="1"/>
  <c r="AC32" i="1"/>
  <c r="AC31" i="1"/>
  <c r="AC30" i="1"/>
  <c r="AC29" i="1"/>
  <c r="AC28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156" i="1"/>
  <c r="AC27" i="4" l="1"/>
  <c r="AA125" i="4"/>
  <c r="AF85" i="4"/>
  <c r="AG85" i="4" s="1"/>
  <c r="AF40" i="4"/>
  <c r="AG40" i="4" s="1"/>
  <c r="AF71" i="4"/>
  <c r="AG71" i="4" s="1"/>
  <c r="AC37" i="4"/>
  <c r="AF23" i="4"/>
  <c r="AG23" i="4" s="1"/>
  <c r="AF102" i="4"/>
  <c r="AG102" i="4" s="1"/>
  <c r="AA37" i="4"/>
  <c r="AF64" i="4"/>
  <c r="AG64" i="4" s="1"/>
  <c r="AF83" i="4"/>
  <c r="AG83" i="4" s="1"/>
  <c r="AC100" i="4"/>
  <c r="AC80" i="4" s="1"/>
  <c r="AA100" i="4"/>
  <c r="AA80" i="4" s="1"/>
  <c r="AF119" i="4"/>
  <c r="AG119" i="4" s="1"/>
  <c r="AF101" i="4"/>
  <c r="AG101" i="4" s="1"/>
  <c r="AF104" i="4"/>
  <c r="AG104" i="4" s="1"/>
  <c r="AC59" i="4"/>
  <c r="AC7" i="4"/>
  <c r="AF109" i="4"/>
  <c r="AG109" i="4" s="1"/>
  <c r="AF70" i="4"/>
  <c r="AG70" i="4" s="1"/>
  <c r="AF164" i="4"/>
  <c r="AG164" i="4" s="1"/>
  <c r="AF89" i="4"/>
  <c r="AG89" i="4" s="1"/>
  <c r="AF92" i="4"/>
  <c r="AG92" i="4" s="1"/>
  <c r="AF68" i="4"/>
  <c r="AG68" i="4" s="1"/>
  <c r="AF66" i="4"/>
  <c r="AG66" i="4" s="1"/>
  <c r="AF28" i="4"/>
  <c r="AG28" i="4" s="1"/>
  <c r="AA27" i="4"/>
  <c r="AF159" i="4"/>
  <c r="AG159" i="4" s="1"/>
  <c r="AA158" i="4"/>
  <c r="AF156" i="4"/>
  <c r="AG156" i="4" s="1"/>
  <c r="Y125" i="4"/>
  <c r="Y170" i="4" s="1"/>
  <c r="Y172" i="4" s="1"/>
  <c r="AF72" i="4"/>
  <c r="AG72" i="4" s="1"/>
  <c r="AA59" i="4"/>
  <c r="AF25" i="4"/>
  <c r="AG25" i="4" s="1"/>
  <c r="AF18" i="4"/>
  <c r="AG18" i="4" s="1"/>
  <c r="AF94" i="4"/>
  <c r="AG94" i="4" s="1"/>
  <c r="AF74" i="4"/>
  <c r="AG74" i="4" s="1"/>
  <c r="AF107" i="4"/>
  <c r="AG107" i="4" s="1"/>
  <c r="AF81" i="4"/>
  <c r="AG81" i="4" s="1"/>
  <c r="AF13" i="4"/>
  <c r="AG13" i="4" s="1"/>
  <c r="AF9" i="4"/>
  <c r="AG9" i="4" s="1"/>
  <c r="AF122" i="4"/>
  <c r="AG122" i="4" s="1"/>
  <c r="AF93" i="4"/>
  <c r="AG93" i="4" s="1"/>
  <c r="AF11" i="4"/>
  <c r="AG11" i="4" s="1"/>
  <c r="AC158" i="4"/>
  <c r="AA7" i="4"/>
  <c r="M178" i="4"/>
  <c r="AF166" i="4"/>
  <c r="AG166" i="4" s="1"/>
  <c r="AF98" i="4"/>
  <c r="AG98" i="4" s="1"/>
  <c r="AF54" i="4"/>
  <c r="AG54" i="4" s="1"/>
  <c r="AC47" i="4"/>
  <c r="I156" i="1"/>
  <c r="J156" i="1" s="1"/>
  <c r="R41" i="2"/>
  <c r="H42" i="2" s="1"/>
  <c r="S41" i="2"/>
  <c r="H43" i="2" s="1"/>
  <c r="L156" i="1"/>
  <c r="N156" i="1" s="1"/>
  <c r="W156" i="1" s="1"/>
  <c r="W125" i="1" s="1"/>
  <c r="W59" i="1"/>
  <c r="U59" i="1"/>
  <c r="W80" i="1"/>
  <c r="U80" i="1"/>
  <c r="AA122" i="1"/>
  <c r="W122" i="1"/>
  <c r="U122" i="1"/>
  <c r="W158" i="1"/>
  <c r="U158" i="1"/>
  <c r="Y47" i="1"/>
  <c r="W47" i="1"/>
  <c r="W37" i="1"/>
  <c r="U47" i="1"/>
  <c r="U37" i="1"/>
  <c r="W27" i="1"/>
  <c r="U27" i="1"/>
  <c r="U7" i="1"/>
  <c r="AF37" i="4" l="1"/>
  <c r="AG37" i="4" s="1"/>
  <c r="AF7" i="4"/>
  <c r="AG7" i="4" s="1"/>
  <c r="AF100" i="4"/>
  <c r="AG100" i="4" s="1"/>
  <c r="AF27" i="4"/>
  <c r="AG27" i="4" s="1"/>
  <c r="AC170" i="4"/>
  <c r="AF47" i="4"/>
  <c r="AG47" i="4" s="1"/>
  <c r="AF80" i="4"/>
  <c r="AG80" i="4" s="1"/>
  <c r="AF158" i="4"/>
  <c r="AG158" i="4" s="1"/>
  <c r="AA170" i="4"/>
  <c r="AF59" i="4"/>
  <c r="AG59" i="4" s="1"/>
  <c r="AF125" i="4"/>
  <c r="AG125" i="4" s="1"/>
  <c r="AA156" i="1"/>
  <c r="H44" i="2"/>
  <c r="J43" i="2" s="1"/>
  <c r="M17" i="3"/>
  <c r="M13" i="3"/>
  <c r="G76" i="1" s="1"/>
  <c r="M12" i="3"/>
  <c r="G74" i="1" s="1"/>
  <c r="M11" i="3"/>
  <c r="M10" i="3"/>
  <c r="M6" i="3"/>
  <c r="G44" i="1" s="1"/>
  <c r="M5" i="3"/>
  <c r="G41" i="1" s="1"/>
  <c r="I5" i="3"/>
  <c r="H5" i="3"/>
  <c r="M4" i="3"/>
  <c r="K4" i="3"/>
  <c r="J4" i="3"/>
  <c r="H4" i="3"/>
  <c r="M3" i="3"/>
  <c r="G39" i="1" s="1"/>
  <c r="M2" i="3"/>
  <c r="G38" i="1" s="1"/>
  <c r="G73" i="1"/>
  <c r="G72" i="1"/>
  <c r="G40" i="1"/>
  <c r="AC167" i="1"/>
  <c r="AC166" i="1"/>
  <c r="AC165" i="1"/>
  <c r="AC164" i="1"/>
  <c r="AC163" i="1"/>
  <c r="AC162" i="1"/>
  <c r="AC161" i="1"/>
  <c r="AC160" i="1"/>
  <c r="AC159" i="1"/>
  <c r="AA172" i="4" l="1"/>
  <c r="AC172" i="4" s="1"/>
  <c r="AC178" i="4" s="1"/>
  <c r="AF170" i="4"/>
  <c r="AD156" i="1"/>
  <c r="AE156" i="1" s="1"/>
  <c r="U125" i="1"/>
  <c r="U171" i="1" s="1"/>
  <c r="U173" i="1" s="1"/>
  <c r="J42" i="2"/>
  <c r="F127" i="1" l="1"/>
  <c r="F52" i="1"/>
  <c r="F107" i="1"/>
  <c r="F108" i="1"/>
  <c r="F164" i="1"/>
  <c r="F167" i="1" l="1"/>
  <c r="F166" i="1"/>
  <c r="F159" i="1"/>
  <c r="M44" i="1"/>
  <c r="L44" i="1"/>
  <c r="I44" i="1"/>
  <c r="J44" i="1" s="1"/>
  <c r="M41" i="1"/>
  <c r="L41" i="1"/>
  <c r="I41" i="1"/>
  <c r="J41" i="1" s="1"/>
  <c r="M40" i="1"/>
  <c r="L40" i="1"/>
  <c r="I40" i="1"/>
  <c r="J40" i="1" s="1"/>
  <c r="M39" i="1"/>
  <c r="L39" i="1"/>
  <c r="I39" i="1"/>
  <c r="J39" i="1" s="1"/>
  <c r="M38" i="1"/>
  <c r="L38" i="1"/>
  <c r="I38" i="1"/>
  <c r="J38" i="1" s="1"/>
  <c r="I145" i="1"/>
  <c r="J145" i="1" s="1"/>
  <c r="L145" i="1"/>
  <c r="M145" i="1"/>
  <c r="N40" i="1" l="1"/>
  <c r="N145" i="1"/>
  <c r="N125" i="1" s="1"/>
  <c r="N39" i="1"/>
  <c r="N38" i="1"/>
  <c r="N44" i="1"/>
  <c r="N41" i="1"/>
  <c r="M167" i="1"/>
  <c r="L167" i="1"/>
  <c r="I167" i="1"/>
  <c r="J167" i="1" s="1"/>
  <c r="M166" i="1"/>
  <c r="L166" i="1"/>
  <c r="I166" i="1"/>
  <c r="J166" i="1" s="1"/>
  <c r="I165" i="1"/>
  <c r="J165" i="1" s="1"/>
  <c r="L165" i="1"/>
  <c r="M165" i="1"/>
  <c r="H29" i="2"/>
  <c r="H31" i="2" s="1"/>
  <c r="H18" i="2"/>
  <c r="H20" i="2" s="1"/>
  <c r="J19" i="2" s="1"/>
  <c r="H7" i="2"/>
  <c r="H9" i="2" s="1"/>
  <c r="J8" i="2" s="1"/>
  <c r="I160" i="1"/>
  <c r="J160" i="1" s="1"/>
  <c r="L160" i="1"/>
  <c r="M160" i="1"/>
  <c r="I161" i="1"/>
  <c r="J161" i="1" s="1"/>
  <c r="L161" i="1"/>
  <c r="M161" i="1"/>
  <c r="I162" i="1"/>
  <c r="J162" i="1" s="1"/>
  <c r="L162" i="1"/>
  <c r="M162" i="1"/>
  <c r="I163" i="1"/>
  <c r="J163" i="1" s="1"/>
  <c r="L163" i="1"/>
  <c r="M163" i="1"/>
  <c r="I164" i="1"/>
  <c r="J164" i="1" s="1"/>
  <c r="L164" i="1"/>
  <c r="M164" i="1"/>
  <c r="M159" i="1"/>
  <c r="L159" i="1"/>
  <c r="I159" i="1"/>
  <c r="J159" i="1" s="1"/>
  <c r="AA145" i="1" l="1"/>
  <c r="AA125" i="1" s="1"/>
  <c r="Y145" i="1"/>
  <c r="AA44" i="1"/>
  <c r="Y44" i="1"/>
  <c r="Y41" i="1"/>
  <c r="AA41" i="1"/>
  <c r="AA40" i="1"/>
  <c r="Y40" i="1"/>
  <c r="Y39" i="1"/>
  <c r="AA39" i="1"/>
  <c r="AA38" i="1"/>
  <c r="Y38" i="1"/>
  <c r="N164" i="1"/>
  <c r="N160" i="1"/>
  <c r="N167" i="1"/>
  <c r="N166" i="1"/>
  <c r="N165" i="1"/>
  <c r="N162" i="1"/>
  <c r="J29" i="2"/>
  <c r="J30" i="2"/>
  <c r="N161" i="1"/>
  <c r="J7" i="2"/>
  <c r="J18" i="2"/>
  <c r="N163" i="1"/>
  <c r="N159" i="1"/>
  <c r="AD145" i="1" l="1"/>
  <c r="AE145" i="1" s="1"/>
  <c r="Y125" i="1"/>
  <c r="Y163" i="1"/>
  <c r="AA163" i="1"/>
  <c r="AA166" i="1"/>
  <c r="Y166" i="1"/>
  <c r="AD166" i="1" s="1"/>
  <c r="AE166" i="1" s="1"/>
  <c r="Y167" i="1"/>
  <c r="AA167" i="1"/>
  <c r="AA162" i="1"/>
  <c r="Y162" i="1"/>
  <c r="AD162" i="1" s="1"/>
  <c r="AE162" i="1" s="1"/>
  <c r="AA160" i="1"/>
  <c r="Y160" i="1"/>
  <c r="AD160" i="1" s="1"/>
  <c r="AE160" i="1" s="1"/>
  <c r="AA159" i="1"/>
  <c r="Y159" i="1"/>
  <c r="Y158" i="1" s="1"/>
  <c r="Y161" i="1"/>
  <c r="AA161" i="1"/>
  <c r="Y165" i="1"/>
  <c r="AA165" i="1"/>
  <c r="AA164" i="1"/>
  <c r="Y164" i="1"/>
  <c r="AD164" i="1" s="1"/>
  <c r="AE164" i="1" s="1"/>
  <c r="AD38" i="1"/>
  <c r="AE38" i="1" s="1"/>
  <c r="AD40" i="1"/>
  <c r="AE40" i="1" s="1"/>
  <c r="AD44" i="1"/>
  <c r="AE44" i="1" s="1"/>
  <c r="AD41" i="1"/>
  <c r="AE41" i="1" s="1"/>
  <c r="AD39" i="1"/>
  <c r="AE39" i="1" s="1"/>
  <c r="N158" i="1"/>
  <c r="I15" i="1"/>
  <c r="J15" i="1" s="1"/>
  <c r="L15" i="1"/>
  <c r="M15" i="1"/>
  <c r="M14" i="1"/>
  <c r="G14" i="1"/>
  <c r="I14" i="1" s="1"/>
  <c r="J14" i="1" s="1"/>
  <c r="M13" i="1"/>
  <c r="M12" i="1"/>
  <c r="G13" i="1"/>
  <c r="I13" i="1" s="1"/>
  <c r="J13" i="1" s="1"/>
  <c r="G12" i="1"/>
  <c r="L12" i="1" s="1"/>
  <c r="M11" i="1"/>
  <c r="M10" i="1"/>
  <c r="G11" i="1"/>
  <c r="I11" i="1" s="1"/>
  <c r="J11" i="1" s="1"/>
  <c r="G10" i="1"/>
  <c r="L10" i="1" s="1"/>
  <c r="F25" i="1"/>
  <c r="L25" i="1" s="1"/>
  <c r="I25" i="1"/>
  <c r="M18" i="1"/>
  <c r="G18" i="1"/>
  <c r="I18" i="1" s="1"/>
  <c r="J18" i="1" s="1"/>
  <c r="G9" i="1"/>
  <c r="I9" i="1" s="1"/>
  <c r="J9" i="1" s="1"/>
  <c r="G8" i="1"/>
  <c r="I8" i="1" s="1"/>
  <c r="J8" i="1" s="1"/>
  <c r="M9" i="1"/>
  <c r="M8" i="1"/>
  <c r="G123" i="1"/>
  <c r="I123" i="1" s="1"/>
  <c r="J123" i="1" s="1"/>
  <c r="G155" i="1"/>
  <c r="L155" i="1" s="1"/>
  <c r="G150" i="1"/>
  <c r="I150" i="1" s="1"/>
  <c r="G149" i="1"/>
  <c r="I149" i="1" s="1"/>
  <c r="G136" i="1"/>
  <c r="L136" i="1" s="1"/>
  <c r="G135" i="1"/>
  <c r="L135" i="1" s="1"/>
  <c r="G127" i="1"/>
  <c r="I127" i="1" s="1"/>
  <c r="M155" i="1"/>
  <c r="M154" i="1"/>
  <c r="L154" i="1"/>
  <c r="I154" i="1"/>
  <c r="J154" i="1" s="1"/>
  <c r="M153" i="1"/>
  <c r="L153" i="1"/>
  <c r="I153" i="1"/>
  <c r="J153" i="1" s="1"/>
  <c r="M152" i="1"/>
  <c r="L152" i="1"/>
  <c r="I152" i="1"/>
  <c r="J152" i="1" s="1"/>
  <c r="M151" i="1"/>
  <c r="L151" i="1"/>
  <c r="I151" i="1"/>
  <c r="J151" i="1" s="1"/>
  <c r="M148" i="1"/>
  <c r="L148" i="1"/>
  <c r="I148" i="1"/>
  <c r="J148" i="1" s="1"/>
  <c r="M147" i="1"/>
  <c r="L147" i="1"/>
  <c r="I147" i="1"/>
  <c r="J147" i="1" s="1"/>
  <c r="M146" i="1"/>
  <c r="I144" i="1"/>
  <c r="M143" i="1"/>
  <c r="L143" i="1"/>
  <c r="I143" i="1"/>
  <c r="J143" i="1" s="1"/>
  <c r="M142" i="1"/>
  <c r="L142" i="1"/>
  <c r="I142" i="1"/>
  <c r="J142" i="1" s="1"/>
  <c r="M141" i="1"/>
  <c r="L141" i="1"/>
  <c r="I141" i="1"/>
  <c r="J141" i="1" s="1"/>
  <c r="M140" i="1"/>
  <c r="L140" i="1"/>
  <c r="I140" i="1"/>
  <c r="J140" i="1" s="1"/>
  <c r="M139" i="1"/>
  <c r="L139" i="1"/>
  <c r="I139" i="1"/>
  <c r="J139" i="1" s="1"/>
  <c r="M138" i="1"/>
  <c r="L138" i="1"/>
  <c r="I138" i="1"/>
  <c r="J138" i="1" s="1"/>
  <c r="M137" i="1"/>
  <c r="L137" i="1"/>
  <c r="I137" i="1"/>
  <c r="J137" i="1" s="1"/>
  <c r="M136" i="1"/>
  <c r="M135" i="1"/>
  <c r="M134" i="1"/>
  <c r="L134" i="1"/>
  <c r="I134" i="1"/>
  <c r="J134" i="1" s="1"/>
  <c r="M133" i="1"/>
  <c r="L133" i="1"/>
  <c r="I133" i="1"/>
  <c r="J133" i="1" s="1"/>
  <c r="M132" i="1"/>
  <c r="L132" i="1"/>
  <c r="I132" i="1"/>
  <c r="J132" i="1" s="1"/>
  <c r="M131" i="1"/>
  <c r="L131" i="1"/>
  <c r="I131" i="1"/>
  <c r="J131" i="1" s="1"/>
  <c r="M130" i="1"/>
  <c r="L130" i="1"/>
  <c r="I130" i="1"/>
  <c r="J130" i="1" s="1"/>
  <c r="M129" i="1"/>
  <c r="L129" i="1"/>
  <c r="I129" i="1"/>
  <c r="J129" i="1" s="1"/>
  <c r="M128" i="1"/>
  <c r="L128" i="1"/>
  <c r="I128" i="1"/>
  <c r="J128" i="1" s="1"/>
  <c r="M123" i="1"/>
  <c r="L113" i="1"/>
  <c r="G110" i="1"/>
  <c r="L110" i="1" s="1"/>
  <c r="G109" i="1"/>
  <c r="I109" i="1" s="1"/>
  <c r="J109" i="1" s="1"/>
  <c r="G105" i="1"/>
  <c r="L105" i="1" s="1"/>
  <c r="G104" i="1"/>
  <c r="I104" i="1" s="1"/>
  <c r="G146" i="1"/>
  <c r="I146" i="1" s="1"/>
  <c r="J146" i="1" s="1"/>
  <c r="G102" i="1"/>
  <c r="I102" i="1" s="1"/>
  <c r="J102" i="1" s="1"/>
  <c r="G101" i="1"/>
  <c r="L101" i="1" s="1"/>
  <c r="G100" i="1"/>
  <c r="I100" i="1" s="1"/>
  <c r="G98" i="1"/>
  <c r="L98" i="1" s="1"/>
  <c r="G94" i="1"/>
  <c r="I94" i="1" s="1"/>
  <c r="J94" i="1" s="1"/>
  <c r="M120" i="1"/>
  <c r="L120" i="1"/>
  <c r="I120" i="1"/>
  <c r="J120" i="1" s="1"/>
  <c r="M119" i="1"/>
  <c r="L119" i="1"/>
  <c r="I119" i="1"/>
  <c r="J119" i="1" s="1"/>
  <c r="M118" i="1"/>
  <c r="L118" i="1"/>
  <c r="I118" i="1"/>
  <c r="J118" i="1" s="1"/>
  <c r="M117" i="1"/>
  <c r="L117" i="1"/>
  <c r="I117" i="1"/>
  <c r="J117" i="1" s="1"/>
  <c r="M116" i="1"/>
  <c r="L116" i="1"/>
  <c r="I116" i="1"/>
  <c r="J116" i="1" s="1"/>
  <c r="M115" i="1"/>
  <c r="L115" i="1"/>
  <c r="I115" i="1"/>
  <c r="J115" i="1" s="1"/>
  <c r="M114" i="1"/>
  <c r="L114" i="1"/>
  <c r="I114" i="1"/>
  <c r="J114" i="1" s="1"/>
  <c r="M113" i="1"/>
  <c r="I113" i="1"/>
  <c r="J113" i="1" s="1"/>
  <c r="M112" i="1"/>
  <c r="L112" i="1"/>
  <c r="I112" i="1"/>
  <c r="J112" i="1" s="1"/>
  <c r="M111" i="1"/>
  <c r="L111" i="1"/>
  <c r="I111" i="1"/>
  <c r="J111" i="1" s="1"/>
  <c r="M110" i="1"/>
  <c r="I110" i="1"/>
  <c r="J110" i="1" s="1"/>
  <c r="M109" i="1"/>
  <c r="M108" i="1"/>
  <c r="L108" i="1"/>
  <c r="I108" i="1"/>
  <c r="J108" i="1" s="1"/>
  <c r="M107" i="1"/>
  <c r="L107" i="1"/>
  <c r="I107" i="1"/>
  <c r="J107" i="1" s="1"/>
  <c r="M106" i="1"/>
  <c r="L106" i="1"/>
  <c r="I106" i="1"/>
  <c r="J106" i="1" s="1"/>
  <c r="M105" i="1"/>
  <c r="M103" i="1"/>
  <c r="L103" i="1"/>
  <c r="I103" i="1"/>
  <c r="J103" i="1" s="1"/>
  <c r="M102" i="1"/>
  <c r="M101" i="1"/>
  <c r="M99" i="1"/>
  <c r="L99" i="1"/>
  <c r="I99" i="1"/>
  <c r="J99" i="1" s="1"/>
  <c r="M98" i="1"/>
  <c r="M97" i="1"/>
  <c r="L97" i="1"/>
  <c r="I97" i="1"/>
  <c r="J97" i="1" s="1"/>
  <c r="M96" i="1"/>
  <c r="L96" i="1"/>
  <c r="I96" i="1"/>
  <c r="J96" i="1" s="1"/>
  <c r="M95" i="1"/>
  <c r="L95" i="1"/>
  <c r="I95" i="1"/>
  <c r="J95" i="1" s="1"/>
  <c r="M94" i="1"/>
  <c r="L94" i="1"/>
  <c r="M92" i="1"/>
  <c r="L92" i="1"/>
  <c r="I92" i="1"/>
  <c r="J92" i="1" s="1"/>
  <c r="M91" i="1"/>
  <c r="L91" i="1"/>
  <c r="I91" i="1"/>
  <c r="J91" i="1" s="1"/>
  <c r="M90" i="1"/>
  <c r="L90" i="1"/>
  <c r="I90" i="1"/>
  <c r="J90" i="1" s="1"/>
  <c r="M89" i="1"/>
  <c r="L89" i="1"/>
  <c r="I89" i="1"/>
  <c r="J89" i="1" s="1"/>
  <c r="M88" i="1"/>
  <c r="L88" i="1"/>
  <c r="I88" i="1"/>
  <c r="J88" i="1" s="1"/>
  <c r="M87" i="1"/>
  <c r="L87" i="1"/>
  <c r="I87" i="1"/>
  <c r="J87" i="1" s="1"/>
  <c r="M86" i="1"/>
  <c r="L86" i="1"/>
  <c r="I86" i="1"/>
  <c r="J86" i="1" s="1"/>
  <c r="M85" i="1"/>
  <c r="L85" i="1"/>
  <c r="I85" i="1"/>
  <c r="J85" i="1" s="1"/>
  <c r="M84" i="1"/>
  <c r="L84" i="1"/>
  <c r="I84" i="1"/>
  <c r="J84" i="1" s="1"/>
  <c r="M83" i="1"/>
  <c r="L83" i="1"/>
  <c r="I83" i="1"/>
  <c r="J83" i="1" s="1"/>
  <c r="M82" i="1"/>
  <c r="L82" i="1"/>
  <c r="I82" i="1"/>
  <c r="J82" i="1" s="1"/>
  <c r="M81" i="1"/>
  <c r="L81" i="1"/>
  <c r="I81" i="1"/>
  <c r="J81" i="1" s="1"/>
  <c r="G71" i="1"/>
  <c r="I71" i="1" s="1"/>
  <c r="J71" i="1" s="1"/>
  <c r="M126" i="1"/>
  <c r="L126" i="1"/>
  <c r="I126" i="1"/>
  <c r="J126" i="1" s="1"/>
  <c r="M77" i="1"/>
  <c r="L77" i="1"/>
  <c r="I77" i="1"/>
  <c r="J77" i="1" s="1"/>
  <c r="M76" i="1"/>
  <c r="L76" i="1"/>
  <c r="I76" i="1"/>
  <c r="J76" i="1" s="1"/>
  <c r="M75" i="1"/>
  <c r="L75" i="1"/>
  <c r="I75" i="1"/>
  <c r="J75" i="1" s="1"/>
  <c r="M74" i="1"/>
  <c r="L74" i="1"/>
  <c r="I74" i="1"/>
  <c r="J74" i="1" s="1"/>
  <c r="M73" i="1"/>
  <c r="L73" i="1"/>
  <c r="I73" i="1"/>
  <c r="J73" i="1" s="1"/>
  <c r="M72" i="1"/>
  <c r="L72" i="1"/>
  <c r="I72" i="1"/>
  <c r="J72" i="1" s="1"/>
  <c r="M71" i="1"/>
  <c r="M70" i="1"/>
  <c r="L70" i="1"/>
  <c r="I70" i="1"/>
  <c r="J70" i="1" s="1"/>
  <c r="M69" i="1"/>
  <c r="L69" i="1"/>
  <c r="I69" i="1"/>
  <c r="J69" i="1" s="1"/>
  <c r="M68" i="1"/>
  <c r="L68" i="1"/>
  <c r="I68" i="1"/>
  <c r="J68" i="1" s="1"/>
  <c r="M67" i="1"/>
  <c r="L67" i="1"/>
  <c r="I67" i="1"/>
  <c r="J67" i="1" s="1"/>
  <c r="M66" i="1"/>
  <c r="L66" i="1"/>
  <c r="I66" i="1"/>
  <c r="J66" i="1" s="1"/>
  <c r="M65" i="1"/>
  <c r="L65" i="1"/>
  <c r="I65" i="1"/>
  <c r="J65" i="1" s="1"/>
  <c r="M64" i="1"/>
  <c r="L64" i="1"/>
  <c r="I64" i="1"/>
  <c r="J64" i="1" s="1"/>
  <c r="M63" i="1"/>
  <c r="L63" i="1"/>
  <c r="I63" i="1"/>
  <c r="J63" i="1" s="1"/>
  <c r="M62" i="1"/>
  <c r="L62" i="1"/>
  <c r="I62" i="1"/>
  <c r="J62" i="1" s="1"/>
  <c r="M61" i="1"/>
  <c r="L61" i="1"/>
  <c r="I61" i="1"/>
  <c r="J61" i="1" s="1"/>
  <c r="M60" i="1"/>
  <c r="L60" i="1"/>
  <c r="I60" i="1"/>
  <c r="J60" i="1" s="1"/>
  <c r="G54" i="1"/>
  <c r="L54" i="1" s="1"/>
  <c r="M55" i="1"/>
  <c r="L55" i="1"/>
  <c r="M54" i="1"/>
  <c r="M53" i="1"/>
  <c r="L53" i="1"/>
  <c r="M52" i="1"/>
  <c r="L52" i="1"/>
  <c r="M51" i="1"/>
  <c r="L51" i="1"/>
  <c r="M50" i="1"/>
  <c r="L50" i="1"/>
  <c r="M49" i="1"/>
  <c r="L49" i="1"/>
  <c r="M48" i="1"/>
  <c r="L48" i="1"/>
  <c r="I55" i="1"/>
  <c r="J55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M93" i="1"/>
  <c r="L93" i="1"/>
  <c r="I93" i="1"/>
  <c r="J93" i="1" s="1"/>
  <c r="M78" i="1"/>
  <c r="L78" i="1"/>
  <c r="I78" i="1"/>
  <c r="J78" i="1" s="1"/>
  <c r="M57" i="1"/>
  <c r="L57" i="1"/>
  <c r="I57" i="1"/>
  <c r="J57" i="1" s="1"/>
  <c r="M56" i="1"/>
  <c r="L56" i="1"/>
  <c r="I56" i="1"/>
  <c r="J56" i="1" s="1"/>
  <c r="I45" i="1"/>
  <c r="J45" i="1" s="1"/>
  <c r="I42" i="1"/>
  <c r="J42" i="1" s="1"/>
  <c r="I43" i="1"/>
  <c r="J43" i="1" s="1"/>
  <c r="M45" i="1"/>
  <c r="L45" i="1"/>
  <c r="M43" i="1"/>
  <c r="L43" i="1"/>
  <c r="M42" i="1"/>
  <c r="L42" i="1"/>
  <c r="G31" i="1"/>
  <c r="L31" i="1" s="1"/>
  <c r="I35" i="1"/>
  <c r="J35" i="1" s="1"/>
  <c r="I34" i="1"/>
  <c r="J34" i="1" s="1"/>
  <c r="I33" i="1"/>
  <c r="J33" i="1" s="1"/>
  <c r="I32" i="1"/>
  <c r="J32" i="1" s="1"/>
  <c r="I30" i="1"/>
  <c r="J30" i="1" s="1"/>
  <c r="I29" i="1"/>
  <c r="J29" i="1" s="1"/>
  <c r="I28" i="1"/>
  <c r="J28" i="1" s="1"/>
  <c r="M35" i="1"/>
  <c r="L35" i="1"/>
  <c r="M34" i="1"/>
  <c r="L34" i="1"/>
  <c r="M33" i="1"/>
  <c r="L33" i="1"/>
  <c r="M32" i="1"/>
  <c r="L32" i="1"/>
  <c r="M31" i="1"/>
  <c r="M30" i="1"/>
  <c r="L30" i="1"/>
  <c r="M29" i="1"/>
  <c r="L29" i="1"/>
  <c r="M28" i="1"/>
  <c r="L28" i="1"/>
  <c r="L22" i="1"/>
  <c r="M22" i="1"/>
  <c r="L23" i="1"/>
  <c r="M23" i="1"/>
  <c r="L24" i="1"/>
  <c r="M24" i="1"/>
  <c r="I22" i="1"/>
  <c r="J22" i="1" s="1"/>
  <c r="I23" i="1"/>
  <c r="J23" i="1" s="1"/>
  <c r="I24" i="1"/>
  <c r="J24" i="1" s="1"/>
  <c r="L21" i="1"/>
  <c r="M21" i="1"/>
  <c r="I21" i="1"/>
  <c r="J21" i="1" s="1"/>
  <c r="L20" i="1"/>
  <c r="M20" i="1"/>
  <c r="I20" i="1"/>
  <c r="J20" i="1" s="1"/>
  <c r="M19" i="1"/>
  <c r="L19" i="1"/>
  <c r="I19" i="1"/>
  <c r="J19" i="1" s="1"/>
  <c r="L17" i="1"/>
  <c r="M17" i="1"/>
  <c r="I17" i="1"/>
  <c r="J17" i="1" s="1"/>
  <c r="M16" i="1"/>
  <c r="L16" i="1"/>
  <c r="I16" i="1"/>
  <c r="J16" i="1" s="1"/>
  <c r="F144" i="1"/>
  <c r="M144" i="1" s="1"/>
  <c r="F150" i="1"/>
  <c r="M150" i="1" s="1"/>
  <c r="F149" i="1"/>
  <c r="M149" i="1" s="1"/>
  <c r="M127" i="1"/>
  <c r="F104" i="1"/>
  <c r="M104" i="1" s="1"/>
  <c r="F100" i="1"/>
  <c r="M100" i="1" s="1"/>
  <c r="AD165" i="1" l="1"/>
  <c r="AE165" i="1" s="1"/>
  <c r="AD159" i="1"/>
  <c r="AE159" i="1" s="1"/>
  <c r="AA158" i="1"/>
  <c r="AD158" i="1" s="1"/>
  <c r="AE158" i="1" s="1"/>
  <c r="AD161" i="1"/>
  <c r="AE161" i="1" s="1"/>
  <c r="AD167" i="1"/>
  <c r="AE167" i="1" s="1"/>
  <c r="AD163" i="1"/>
  <c r="AE163" i="1" s="1"/>
  <c r="N143" i="1"/>
  <c r="AA143" i="1" s="1"/>
  <c r="AD143" i="1" s="1"/>
  <c r="AE143" i="1" s="1"/>
  <c r="N73" i="1"/>
  <c r="I101" i="1"/>
  <c r="J101" i="1" s="1"/>
  <c r="I31" i="1"/>
  <c r="J31" i="1" s="1"/>
  <c r="N70" i="1"/>
  <c r="L123" i="1"/>
  <c r="N123" i="1" s="1"/>
  <c r="Y123" i="1" s="1"/>
  <c r="I155" i="1"/>
  <c r="J155" i="1" s="1"/>
  <c r="L109" i="1"/>
  <c r="N119" i="1"/>
  <c r="L13" i="1"/>
  <c r="N13" i="1" s="1"/>
  <c r="N22" i="1"/>
  <c r="N43" i="1"/>
  <c r="N62" i="1"/>
  <c r="M25" i="1"/>
  <c r="N25" i="1" s="1"/>
  <c r="L127" i="1"/>
  <c r="N127" i="1" s="1"/>
  <c r="Y127" i="1" s="1"/>
  <c r="J149" i="1"/>
  <c r="L71" i="1"/>
  <c r="N71" i="1" s="1"/>
  <c r="I98" i="1"/>
  <c r="J98" i="1" s="1"/>
  <c r="J144" i="1"/>
  <c r="L104" i="1"/>
  <c r="N104" i="1" s="1"/>
  <c r="L146" i="1"/>
  <c r="N146" i="1" s="1"/>
  <c r="Y146" i="1" s="1"/>
  <c r="AD146" i="1" s="1"/>
  <c r="AE146" i="1" s="1"/>
  <c r="J150" i="1"/>
  <c r="L11" i="1"/>
  <c r="N11" i="1" s="1"/>
  <c r="I136" i="1"/>
  <c r="J136" i="1" s="1"/>
  <c r="L144" i="1"/>
  <c r="I54" i="1"/>
  <c r="J54" i="1" s="1"/>
  <c r="L100" i="1"/>
  <c r="N100" i="1" s="1"/>
  <c r="L102" i="1"/>
  <c r="N102" i="1" s="1"/>
  <c r="J127" i="1"/>
  <c r="I135" i="1"/>
  <c r="J135" i="1" s="1"/>
  <c r="L18" i="1"/>
  <c r="N18" i="1" s="1"/>
  <c r="I10" i="1"/>
  <c r="J10" i="1" s="1"/>
  <c r="I12" i="1"/>
  <c r="J12" i="1" s="1"/>
  <c r="L14" i="1"/>
  <c r="N14" i="1" s="1"/>
  <c r="L150" i="1"/>
  <c r="N150" i="1" s="1"/>
  <c r="Y150" i="1" s="1"/>
  <c r="AD150" i="1" s="1"/>
  <c r="AE150" i="1" s="1"/>
  <c r="J104" i="1"/>
  <c r="J100" i="1"/>
  <c r="L149" i="1"/>
  <c r="N149" i="1" s="1"/>
  <c r="Y149" i="1" s="1"/>
  <c r="AD149" i="1" s="1"/>
  <c r="AE149" i="1" s="1"/>
  <c r="N81" i="1"/>
  <c r="N135" i="1"/>
  <c r="Y135" i="1" s="1"/>
  <c r="AD135" i="1" s="1"/>
  <c r="AE135" i="1" s="1"/>
  <c r="N138" i="1"/>
  <c r="Y138" i="1" s="1"/>
  <c r="AD138" i="1" s="1"/>
  <c r="AE138" i="1" s="1"/>
  <c r="N142" i="1"/>
  <c r="Y142" i="1" s="1"/>
  <c r="AD142" i="1" s="1"/>
  <c r="AE142" i="1" s="1"/>
  <c r="N147" i="1"/>
  <c r="Y147" i="1" s="1"/>
  <c r="AD147" i="1" s="1"/>
  <c r="AE147" i="1" s="1"/>
  <c r="N153" i="1"/>
  <c r="AA153" i="1" s="1"/>
  <c r="AD153" i="1" s="1"/>
  <c r="AE153" i="1" s="1"/>
  <c r="N15" i="1"/>
  <c r="N56" i="1"/>
  <c r="AA56" i="1" s="1"/>
  <c r="AD56" i="1" s="1"/>
  <c r="AE56" i="1" s="1"/>
  <c r="N141" i="1"/>
  <c r="Y141" i="1" s="1"/>
  <c r="AD141" i="1" s="1"/>
  <c r="AE141" i="1" s="1"/>
  <c r="N152" i="1"/>
  <c r="AA152" i="1" s="1"/>
  <c r="AD152" i="1" s="1"/>
  <c r="AE152" i="1" s="1"/>
  <c r="N154" i="1"/>
  <c r="AA154" i="1" s="1"/>
  <c r="AD154" i="1" s="1"/>
  <c r="AE154" i="1" s="1"/>
  <c r="N96" i="1"/>
  <c r="N85" i="1"/>
  <c r="N48" i="1"/>
  <c r="AA48" i="1" s="1"/>
  <c r="N51" i="1"/>
  <c r="AA51" i="1" s="1"/>
  <c r="AD51" i="1" s="1"/>
  <c r="AE51" i="1" s="1"/>
  <c r="N55" i="1"/>
  <c r="AA55" i="1" s="1"/>
  <c r="AD55" i="1" s="1"/>
  <c r="AE55" i="1" s="1"/>
  <c r="N16" i="1"/>
  <c r="N23" i="1"/>
  <c r="N132" i="1"/>
  <c r="Y132" i="1" s="1"/>
  <c r="AD132" i="1" s="1"/>
  <c r="AE132" i="1" s="1"/>
  <c r="N148" i="1"/>
  <c r="Y148" i="1" s="1"/>
  <c r="AD148" i="1" s="1"/>
  <c r="AE148" i="1" s="1"/>
  <c r="N130" i="1"/>
  <c r="Y130" i="1" s="1"/>
  <c r="AD130" i="1" s="1"/>
  <c r="AE130" i="1" s="1"/>
  <c r="N137" i="1"/>
  <c r="Y137" i="1" s="1"/>
  <c r="AD137" i="1" s="1"/>
  <c r="AE137" i="1" s="1"/>
  <c r="N92" i="1"/>
  <c r="N117" i="1"/>
  <c r="N66" i="1"/>
  <c r="N60" i="1"/>
  <c r="N61" i="1"/>
  <c r="N65" i="1"/>
  <c r="N74" i="1"/>
  <c r="N57" i="1"/>
  <c r="AA57" i="1" s="1"/>
  <c r="AD57" i="1" s="1"/>
  <c r="AE57" i="1" s="1"/>
  <c r="N28" i="1"/>
  <c r="N20" i="1"/>
  <c r="N21" i="1"/>
  <c r="N76" i="1"/>
  <c r="N72" i="1"/>
  <c r="N12" i="1"/>
  <c r="N10" i="1"/>
  <c r="J25" i="1"/>
  <c r="L9" i="1"/>
  <c r="L8" i="1"/>
  <c r="N155" i="1"/>
  <c r="AA155" i="1" s="1"/>
  <c r="AD155" i="1" s="1"/>
  <c r="AE155" i="1" s="1"/>
  <c r="N151" i="1"/>
  <c r="AA151" i="1" s="1"/>
  <c r="AD151" i="1" s="1"/>
  <c r="AE151" i="1" s="1"/>
  <c r="N144" i="1"/>
  <c r="AA144" i="1" s="1"/>
  <c r="AD144" i="1" s="1"/>
  <c r="AE144" i="1" s="1"/>
  <c r="N140" i="1"/>
  <c r="Y140" i="1" s="1"/>
  <c r="AD140" i="1" s="1"/>
  <c r="AE140" i="1" s="1"/>
  <c r="N139" i="1"/>
  <c r="AA139" i="1" s="1"/>
  <c r="N136" i="1"/>
  <c r="Y136" i="1" s="1"/>
  <c r="AD136" i="1" s="1"/>
  <c r="AE136" i="1" s="1"/>
  <c r="N134" i="1"/>
  <c r="Y134" i="1" s="1"/>
  <c r="AD134" i="1" s="1"/>
  <c r="AE134" i="1" s="1"/>
  <c r="N133" i="1"/>
  <c r="Y133" i="1" s="1"/>
  <c r="AD133" i="1" s="1"/>
  <c r="AE133" i="1" s="1"/>
  <c r="N131" i="1"/>
  <c r="Y131" i="1" s="1"/>
  <c r="AD131" i="1" s="1"/>
  <c r="AE131" i="1" s="1"/>
  <c r="N129" i="1"/>
  <c r="Y129" i="1" s="1"/>
  <c r="AD129" i="1" s="1"/>
  <c r="AE129" i="1" s="1"/>
  <c r="N128" i="1"/>
  <c r="Y128" i="1" s="1"/>
  <c r="AD128" i="1" s="1"/>
  <c r="AE128" i="1" s="1"/>
  <c r="N126" i="1"/>
  <c r="Y126" i="1" s="1"/>
  <c r="AD126" i="1" s="1"/>
  <c r="AE126" i="1" s="1"/>
  <c r="N118" i="1"/>
  <c r="N115" i="1"/>
  <c r="N116" i="1"/>
  <c r="N113" i="1"/>
  <c r="N114" i="1"/>
  <c r="N112" i="1"/>
  <c r="N120" i="1"/>
  <c r="N111" i="1"/>
  <c r="N110" i="1"/>
  <c r="N109" i="1"/>
  <c r="N108" i="1"/>
  <c r="N107" i="1"/>
  <c r="N106" i="1"/>
  <c r="I105" i="1"/>
  <c r="J105" i="1" s="1"/>
  <c r="N105" i="1"/>
  <c r="N103" i="1"/>
  <c r="N101" i="1"/>
  <c r="N99" i="1"/>
  <c r="N93" i="1"/>
  <c r="N97" i="1"/>
  <c r="N98" i="1"/>
  <c r="N95" i="1"/>
  <c r="N94" i="1"/>
  <c r="N91" i="1"/>
  <c r="N90" i="1"/>
  <c r="N88" i="1"/>
  <c r="N89" i="1"/>
  <c r="N87" i="1"/>
  <c r="N86" i="1"/>
  <c r="N84" i="1"/>
  <c r="N83" i="1"/>
  <c r="N82" i="1"/>
  <c r="N77" i="1"/>
  <c r="N75" i="1"/>
  <c r="N69" i="1"/>
  <c r="N68" i="1"/>
  <c r="N67" i="1"/>
  <c r="N64" i="1"/>
  <c r="N63" i="1"/>
  <c r="N78" i="1"/>
  <c r="N54" i="1"/>
  <c r="AA54" i="1" s="1"/>
  <c r="AD54" i="1" s="1"/>
  <c r="AE54" i="1" s="1"/>
  <c r="N52" i="1"/>
  <c r="AA52" i="1" s="1"/>
  <c r="AD52" i="1" s="1"/>
  <c r="AE52" i="1" s="1"/>
  <c r="N53" i="1"/>
  <c r="AA53" i="1" s="1"/>
  <c r="AD53" i="1" s="1"/>
  <c r="AE53" i="1" s="1"/>
  <c r="N50" i="1"/>
  <c r="AA50" i="1" s="1"/>
  <c r="AD50" i="1" s="1"/>
  <c r="AE50" i="1" s="1"/>
  <c r="N49" i="1"/>
  <c r="AA49" i="1" s="1"/>
  <c r="AD49" i="1" s="1"/>
  <c r="AE49" i="1" s="1"/>
  <c r="N17" i="1"/>
  <c r="N19" i="1"/>
  <c r="N24" i="1"/>
  <c r="W24" i="1" s="1"/>
  <c r="AD24" i="1" s="1"/>
  <c r="AE24" i="1" s="1"/>
  <c r="N45" i="1"/>
  <c r="N42" i="1"/>
  <c r="N29" i="1"/>
  <c r="N33" i="1"/>
  <c r="N35" i="1"/>
  <c r="N30" i="1"/>
  <c r="N32" i="1"/>
  <c r="N34" i="1"/>
  <c r="N31" i="1"/>
  <c r="Y60" i="1" l="1"/>
  <c r="AA60" i="1"/>
  <c r="AA45" i="1"/>
  <c r="Y45" i="1"/>
  <c r="AD45" i="1" s="1"/>
  <c r="AE45" i="1" s="1"/>
  <c r="AA15" i="1"/>
  <c r="Y15" i="1"/>
  <c r="AD15" i="1" s="1"/>
  <c r="AE15" i="1" s="1"/>
  <c r="AA78" i="1"/>
  <c r="Y78" i="1"/>
  <c r="AA14" i="1"/>
  <c r="Y14" i="1"/>
  <c r="AD14" i="1" s="1"/>
  <c r="AE14" i="1" s="1"/>
  <c r="AA25" i="1"/>
  <c r="Y25" i="1"/>
  <c r="AD25" i="1" s="1"/>
  <c r="AE25" i="1" s="1"/>
  <c r="AD123" i="1"/>
  <c r="AE123" i="1" s="1"/>
  <c r="Y122" i="1"/>
  <c r="AD122" i="1" s="1"/>
  <c r="AA67" i="1"/>
  <c r="Y67" i="1"/>
  <c r="AD67" i="1" s="1"/>
  <c r="AE67" i="1" s="1"/>
  <c r="AA90" i="1"/>
  <c r="Y90" i="1"/>
  <c r="AD90" i="1" s="1"/>
  <c r="AE90" i="1" s="1"/>
  <c r="AA106" i="1"/>
  <c r="Y106" i="1"/>
  <c r="AD106" i="1" s="1"/>
  <c r="AE106" i="1" s="1"/>
  <c r="Y110" i="1"/>
  <c r="AA110" i="1"/>
  <c r="Y118" i="1"/>
  <c r="AA118" i="1"/>
  <c r="AD139" i="1"/>
  <c r="AE139" i="1" s="1"/>
  <c r="AA85" i="1"/>
  <c r="Y85" i="1"/>
  <c r="AD85" i="1" s="1"/>
  <c r="AE85" i="1" s="1"/>
  <c r="AA81" i="1"/>
  <c r="Y81" i="1"/>
  <c r="AA22" i="1"/>
  <c r="Y22" i="1"/>
  <c r="AD22" i="1" s="1"/>
  <c r="AE22" i="1" s="1"/>
  <c r="Y68" i="1"/>
  <c r="AA68" i="1"/>
  <c r="AA82" i="1"/>
  <c r="Y82" i="1"/>
  <c r="AD82" i="1" s="1"/>
  <c r="AE82" i="1" s="1"/>
  <c r="Y87" i="1"/>
  <c r="AA87" i="1"/>
  <c r="AA91" i="1"/>
  <c r="Y91" i="1"/>
  <c r="AD91" i="1" s="1"/>
  <c r="AE91" i="1" s="1"/>
  <c r="AA97" i="1"/>
  <c r="Y97" i="1"/>
  <c r="AD97" i="1" s="1"/>
  <c r="AE97" i="1" s="1"/>
  <c r="Y103" i="1"/>
  <c r="AA103" i="1"/>
  <c r="AA107" i="1"/>
  <c r="Y107" i="1"/>
  <c r="AD107" i="1" s="1"/>
  <c r="AE107" i="1" s="1"/>
  <c r="Y111" i="1"/>
  <c r="AA111" i="1"/>
  <c r="AA113" i="1"/>
  <c r="Y113" i="1"/>
  <c r="AD113" i="1" s="1"/>
  <c r="AE113" i="1" s="1"/>
  <c r="AA12" i="1"/>
  <c r="Y12" i="1"/>
  <c r="AD12" i="1" s="1"/>
  <c r="AE12" i="1" s="1"/>
  <c r="AA65" i="1"/>
  <c r="Y65" i="1"/>
  <c r="AD65" i="1" s="1"/>
  <c r="AE65" i="1" s="1"/>
  <c r="AA117" i="1"/>
  <c r="Y117" i="1"/>
  <c r="AD117" i="1" s="1"/>
  <c r="AE117" i="1" s="1"/>
  <c r="Y96" i="1"/>
  <c r="AA96" i="1"/>
  <c r="Y13" i="1"/>
  <c r="AA13" i="1"/>
  <c r="Y86" i="1"/>
  <c r="AA86" i="1"/>
  <c r="AA98" i="1"/>
  <c r="Y98" i="1"/>
  <c r="AD98" i="1" s="1"/>
  <c r="AE98" i="1" s="1"/>
  <c r="AA114" i="1"/>
  <c r="Y114" i="1"/>
  <c r="AD114" i="1" s="1"/>
  <c r="AE114" i="1" s="1"/>
  <c r="AA100" i="1"/>
  <c r="Y100" i="1"/>
  <c r="AD100" i="1" s="1"/>
  <c r="AE100" i="1" s="1"/>
  <c r="AD127" i="1"/>
  <c r="AE127" i="1" s="1"/>
  <c r="AD125" i="1"/>
  <c r="AA33" i="1"/>
  <c r="Y33" i="1"/>
  <c r="AD33" i="1" s="1"/>
  <c r="AE33" i="1" s="1"/>
  <c r="Y32" i="1"/>
  <c r="AA32" i="1"/>
  <c r="AA29" i="1"/>
  <c r="Y29" i="1"/>
  <c r="AD29" i="1" s="1"/>
  <c r="AE29" i="1" s="1"/>
  <c r="AA63" i="1"/>
  <c r="Y63" i="1"/>
  <c r="AD63" i="1" s="1"/>
  <c r="AE63" i="1" s="1"/>
  <c r="AA69" i="1"/>
  <c r="Y69" i="1"/>
  <c r="AD69" i="1" s="1"/>
  <c r="AE69" i="1" s="1"/>
  <c r="AA83" i="1"/>
  <c r="Y83" i="1"/>
  <c r="AD83" i="1" s="1"/>
  <c r="AE83" i="1" s="1"/>
  <c r="AA89" i="1"/>
  <c r="Y89" i="1"/>
  <c r="AD89" i="1" s="1"/>
  <c r="AE89" i="1" s="1"/>
  <c r="Y94" i="1"/>
  <c r="AA94" i="1"/>
  <c r="Y93" i="1"/>
  <c r="AA93" i="1"/>
  <c r="AA105" i="1"/>
  <c r="Y105" i="1"/>
  <c r="AD105" i="1" s="1"/>
  <c r="AE105" i="1" s="1"/>
  <c r="AA108" i="1"/>
  <c r="Y108" i="1"/>
  <c r="AD108" i="1" s="1"/>
  <c r="AE108" i="1" s="1"/>
  <c r="Y120" i="1"/>
  <c r="AA120" i="1"/>
  <c r="AA116" i="1"/>
  <c r="Y116" i="1"/>
  <c r="AD116" i="1" s="1"/>
  <c r="AE116" i="1" s="1"/>
  <c r="Y28" i="1"/>
  <c r="AA28" i="1"/>
  <c r="AA61" i="1"/>
  <c r="Y61" i="1"/>
  <c r="AD61" i="1" s="1"/>
  <c r="AE61" i="1" s="1"/>
  <c r="AA92" i="1"/>
  <c r="Y92" i="1"/>
  <c r="AD92" i="1" s="1"/>
  <c r="AE92" i="1" s="1"/>
  <c r="AA71" i="1"/>
  <c r="Y71" i="1"/>
  <c r="AD71" i="1" s="1"/>
  <c r="AE71" i="1" s="1"/>
  <c r="Y62" i="1"/>
  <c r="AA62" i="1"/>
  <c r="Y119" i="1"/>
  <c r="AA119" i="1"/>
  <c r="Y70" i="1"/>
  <c r="AA70" i="1"/>
  <c r="AA31" i="1"/>
  <c r="Y31" i="1"/>
  <c r="AD31" i="1" s="1"/>
  <c r="AE31" i="1" s="1"/>
  <c r="AA35" i="1"/>
  <c r="Y35" i="1"/>
  <c r="AA77" i="1"/>
  <c r="Y77" i="1"/>
  <c r="AD77" i="1" s="1"/>
  <c r="AE77" i="1" s="1"/>
  <c r="Y101" i="1"/>
  <c r="AA101" i="1"/>
  <c r="AA10" i="1"/>
  <c r="Y10" i="1"/>
  <c r="AD10" i="1" s="1"/>
  <c r="AE10" i="1" s="1"/>
  <c r="Y66" i="1"/>
  <c r="AA66" i="1"/>
  <c r="Y11" i="1"/>
  <c r="AA11" i="1"/>
  <c r="Y34" i="1"/>
  <c r="AA34" i="1"/>
  <c r="Y30" i="1"/>
  <c r="AA30" i="1"/>
  <c r="Y42" i="1"/>
  <c r="AA42" i="1"/>
  <c r="Y64" i="1"/>
  <c r="AA64" i="1"/>
  <c r="Y75" i="1"/>
  <c r="AA75" i="1"/>
  <c r="AA84" i="1"/>
  <c r="Y84" i="1"/>
  <c r="AD84" i="1" s="1"/>
  <c r="AE84" i="1" s="1"/>
  <c r="Y88" i="1"/>
  <c r="AA88" i="1"/>
  <c r="Y95" i="1"/>
  <c r="AA95" i="1"/>
  <c r="AA99" i="1"/>
  <c r="Y99" i="1"/>
  <c r="AD99" i="1" s="1"/>
  <c r="AE99" i="1" s="1"/>
  <c r="Y109" i="1"/>
  <c r="AA109" i="1"/>
  <c r="Y112" i="1"/>
  <c r="AA112" i="1"/>
  <c r="AA115" i="1"/>
  <c r="Y115" i="1"/>
  <c r="AD115" i="1" s="1"/>
  <c r="AE115" i="1" s="1"/>
  <c r="W23" i="1"/>
  <c r="AA23" i="1"/>
  <c r="Y23" i="1"/>
  <c r="AA47" i="1"/>
  <c r="AD47" i="1" s="1"/>
  <c r="AD48" i="1"/>
  <c r="AE48" i="1" s="1"/>
  <c r="Y102" i="1"/>
  <c r="AD102" i="1" s="1"/>
  <c r="AE102" i="1" s="1"/>
  <c r="AA102" i="1"/>
  <c r="Y104" i="1"/>
  <c r="AD104" i="1" s="1"/>
  <c r="AE104" i="1" s="1"/>
  <c r="AA104" i="1"/>
  <c r="AA43" i="1"/>
  <c r="Y43" i="1"/>
  <c r="AA19" i="1"/>
  <c r="Y19" i="1"/>
  <c r="AA17" i="1"/>
  <c r="Y17" i="1"/>
  <c r="AA18" i="1"/>
  <c r="Y18" i="1"/>
  <c r="AA21" i="1"/>
  <c r="Y21" i="1"/>
  <c r="AA16" i="1"/>
  <c r="Y16" i="1"/>
  <c r="Y20" i="1"/>
  <c r="AA20" i="1"/>
  <c r="AA76" i="1"/>
  <c r="Y76" i="1"/>
  <c r="AA74" i="1"/>
  <c r="Y74" i="1"/>
  <c r="AA73" i="1"/>
  <c r="Y73" i="1"/>
  <c r="Y72" i="1"/>
  <c r="AA72" i="1"/>
  <c r="N122" i="1"/>
  <c r="M171" i="1"/>
  <c r="N80" i="1"/>
  <c r="J171" i="1"/>
  <c r="N47" i="1"/>
  <c r="N37" i="1"/>
  <c r="N27" i="1"/>
  <c r="N8" i="1"/>
  <c r="L171" i="1"/>
  <c r="N59" i="1"/>
  <c r="N9" i="1"/>
  <c r="AD78" i="1" l="1"/>
  <c r="AE78" i="1" s="1"/>
  <c r="AE122" i="1"/>
  <c r="AA8" i="1"/>
  <c r="Y8" i="1"/>
  <c r="AD8" i="1" s="1"/>
  <c r="AE8" i="1" s="1"/>
  <c r="AD60" i="1"/>
  <c r="AE60" i="1" s="1"/>
  <c r="Y80" i="1"/>
  <c r="AD81" i="1"/>
  <c r="AE81" i="1" s="1"/>
  <c r="AD18" i="1"/>
  <c r="AE18" i="1" s="1"/>
  <c r="AD19" i="1"/>
  <c r="AE19" i="1" s="1"/>
  <c r="W7" i="1"/>
  <c r="W171" i="1" s="1"/>
  <c r="W173" i="1" s="1"/>
  <c r="AD23" i="1"/>
  <c r="AE23" i="1" s="1"/>
  <c r="AD112" i="1"/>
  <c r="AE112" i="1" s="1"/>
  <c r="AD88" i="1"/>
  <c r="AE88" i="1" s="1"/>
  <c r="AD75" i="1"/>
  <c r="AE75" i="1" s="1"/>
  <c r="AD42" i="1"/>
  <c r="AE42" i="1" s="1"/>
  <c r="Y37" i="1"/>
  <c r="AD34" i="1"/>
  <c r="AE34" i="1" s="1"/>
  <c r="AD66" i="1"/>
  <c r="AE66" i="1" s="1"/>
  <c r="AD101" i="1"/>
  <c r="AE101" i="1" s="1"/>
  <c r="AD35" i="1"/>
  <c r="AE35" i="1" s="1"/>
  <c r="AD70" i="1"/>
  <c r="AE70" i="1" s="1"/>
  <c r="AD62" i="1"/>
  <c r="AE62" i="1" s="1"/>
  <c r="Y27" i="1"/>
  <c r="AD28" i="1"/>
  <c r="AE28" i="1" s="1"/>
  <c r="AD120" i="1"/>
  <c r="AE120" i="1" s="1"/>
  <c r="AD94" i="1"/>
  <c r="AE94" i="1" s="1"/>
  <c r="AD32" i="1"/>
  <c r="AE32" i="1" s="1"/>
  <c r="AD86" i="1"/>
  <c r="AE86" i="1" s="1"/>
  <c r="AD96" i="1"/>
  <c r="AE96" i="1" s="1"/>
  <c r="AD87" i="1"/>
  <c r="AE87" i="1" s="1"/>
  <c r="AD68" i="1"/>
  <c r="AE68" i="1" s="1"/>
  <c r="AA80" i="1"/>
  <c r="AD110" i="1"/>
  <c r="AE110" i="1" s="1"/>
  <c r="AA37" i="1"/>
  <c r="AA27" i="1"/>
  <c r="AE47" i="1"/>
  <c r="AE125" i="1"/>
  <c r="AD74" i="1"/>
  <c r="AE74" i="1" s="1"/>
  <c r="AD21" i="1"/>
  <c r="AE21" i="1" s="1"/>
  <c r="AD43" i="1"/>
  <c r="AE43" i="1" s="1"/>
  <c r="AD109" i="1"/>
  <c r="AE109" i="1" s="1"/>
  <c r="AD95" i="1"/>
  <c r="AE95" i="1" s="1"/>
  <c r="AD64" i="1"/>
  <c r="AE64" i="1" s="1"/>
  <c r="AD30" i="1"/>
  <c r="AE30" i="1" s="1"/>
  <c r="AD11" i="1"/>
  <c r="AE11" i="1" s="1"/>
  <c r="AD119" i="1"/>
  <c r="AE119" i="1" s="1"/>
  <c r="AD93" i="1"/>
  <c r="AE93" i="1" s="1"/>
  <c r="AD13" i="1"/>
  <c r="AE13" i="1" s="1"/>
  <c r="AD111" i="1"/>
  <c r="AE111" i="1" s="1"/>
  <c r="AD103" i="1"/>
  <c r="AE103" i="1" s="1"/>
  <c r="AD118" i="1"/>
  <c r="AE118" i="1" s="1"/>
  <c r="AA59" i="1"/>
  <c r="Y59" i="1"/>
  <c r="AD16" i="1"/>
  <c r="AE16" i="1" s="1"/>
  <c r="AD17" i="1"/>
  <c r="AE17" i="1" s="1"/>
  <c r="AD20" i="1"/>
  <c r="AE20" i="1" s="1"/>
  <c r="AD73" i="1"/>
  <c r="AE73" i="1" s="1"/>
  <c r="AD76" i="1"/>
  <c r="AE76" i="1" s="1"/>
  <c r="AD72" i="1"/>
  <c r="AE72" i="1" s="1"/>
  <c r="Y9" i="1"/>
  <c r="Y7" i="1" s="1"/>
  <c r="AA9" i="1"/>
  <c r="AA7" i="1" s="1"/>
  <c r="N7" i="1"/>
  <c r="M179" i="1"/>
  <c r="AD37" i="1" l="1"/>
  <c r="AE37" i="1" s="1"/>
  <c r="AD27" i="1"/>
  <c r="AE27" i="1" s="1"/>
  <c r="AD80" i="1"/>
  <c r="AE80" i="1" s="1"/>
  <c r="AA171" i="1"/>
  <c r="AD59" i="1"/>
  <c r="AE59" i="1" s="1"/>
  <c r="AD7" i="1"/>
  <c r="Y171" i="1"/>
  <c r="N171" i="1"/>
  <c r="AD9" i="1"/>
  <c r="AE9" i="1" s="1"/>
  <c r="V158" i="1" l="1"/>
  <c r="V122" i="1"/>
  <c r="V80" i="1"/>
  <c r="V59" i="1"/>
  <c r="V47" i="1"/>
  <c r="V37" i="1"/>
  <c r="V27" i="1"/>
  <c r="V7" i="1"/>
  <c r="Z158" i="1"/>
  <c r="Z122" i="1"/>
  <c r="T122" i="1"/>
  <c r="Z47" i="1"/>
  <c r="Z27" i="1"/>
  <c r="X80" i="1"/>
  <c r="T158" i="1"/>
  <c r="T125" i="1"/>
  <c r="T80" i="1"/>
  <c r="T59" i="1"/>
  <c r="T47" i="1"/>
  <c r="T37" i="1"/>
  <c r="T27" i="1"/>
  <c r="T7" i="1"/>
  <c r="X158" i="1"/>
  <c r="X122" i="1"/>
  <c r="X47" i="1"/>
  <c r="X27" i="1"/>
  <c r="Z80" i="1"/>
  <c r="V125" i="1"/>
  <c r="Z125" i="1"/>
  <c r="X125" i="1"/>
  <c r="Z37" i="1"/>
  <c r="X37" i="1"/>
  <c r="Z7" i="1"/>
  <c r="AD171" i="1"/>
  <c r="AE7" i="1"/>
  <c r="Z59" i="1"/>
  <c r="X7" i="1"/>
  <c r="X59" i="1"/>
  <c r="Q123" i="1"/>
  <c r="Q125" i="1"/>
  <c r="Q80" i="1"/>
  <c r="L172" i="1"/>
  <c r="M172" i="1"/>
  <c r="P47" i="1"/>
  <c r="P27" i="1"/>
  <c r="P158" i="1"/>
  <c r="N179" i="1"/>
  <c r="P80" i="1"/>
  <c r="P122" i="1"/>
  <c r="P37" i="1"/>
  <c r="P59" i="1"/>
  <c r="P125" i="1"/>
  <c r="V171" i="1"/>
  <c r="T171" i="1"/>
  <c r="T173" i="1" s="1"/>
  <c r="X171" i="1"/>
  <c r="Y173" i="1"/>
  <c r="AA173" i="1" s="1"/>
  <c r="AA179" i="1" s="1"/>
  <c r="Z171" i="1"/>
  <c r="P7" i="1"/>
  <c r="Q171" i="1" l="1"/>
  <c r="V173" i="1"/>
  <c r="X173" i="1" s="1"/>
  <c r="Z173" i="1" s="1"/>
  <c r="N170" i="4"/>
  <c r="Z7" i="4" s="1"/>
  <c r="T80" i="4" l="1"/>
  <c r="V125" i="4"/>
  <c r="Z37" i="4"/>
  <c r="L171" i="4"/>
  <c r="T122" i="4"/>
  <c r="V7" i="4"/>
  <c r="AB80" i="4"/>
  <c r="X158" i="4"/>
  <c r="V59" i="4"/>
  <c r="P125" i="4"/>
  <c r="Q125" i="4"/>
  <c r="X170" i="4"/>
  <c r="AB170" i="4"/>
  <c r="T170" i="4"/>
  <c r="T172" i="4" s="1"/>
  <c r="P7" i="4"/>
  <c r="T7" i="4"/>
  <c r="X47" i="4"/>
  <c r="T125" i="4"/>
  <c r="P27" i="4"/>
  <c r="P122" i="4"/>
  <c r="Z122" i="4"/>
  <c r="Z59" i="4"/>
  <c r="P80" i="4"/>
  <c r="X80" i="4"/>
  <c r="P37" i="4"/>
  <c r="P158" i="4"/>
  <c r="N178" i="4"/>
  <c r="Z27" i="4"/>
  <c r="T158" i="4"/>
  <c r="AB7" i="4"/>
  <c r="V27" i="4"/>
  <c r="AB27" i="4"/>
  <c r="AB59" i="4"/>
  <c r="Q80" i="4"/>
  <c r="AB47" i="4"/>
  <c r="X59" i="4"/>
  <c r="V47" i="4"/>
  <c r="AB37" i="4"/>
  <c r="Z158" i="4"/>
  <c r="X125" i="4"/>
  <c r="P47" i="4"/>
  <c r="AB125" i="4"/>
  <c r="Z80" i="4"/>
  <c r="P59" i="4"/>
  <c r="V158" i="4"/>
  <c r="AB158" i="4"/>
  <c r="X27" i="4"/>
  <c r="V37" i="4"/>
  <c r="X7" i="4"/>
  <c r="Z170" i="4"/>
  <c r="V170" i="4"/>
  <c r="V172" i="4" s="1"/>
  <c r="V80" i="4"/>
  <c r="V122" i="4"/>
  <c r="Z125" i="4"/>
  <c r="M171" i="4"/>
  <c r="T37" i="4"/>
  <c r="T59" i="4"/>
  <c r="T27" i="4"/>
  <c r="X37" i="4"/>
  <c r="Q123" i="4"/>
  <c r="N171" i="4"/>
  <c r="X122" i="4"/>
  <c r="Z47" i="4"/>
  <c r="AB122" i="4"/>
  <c r="T47" i="4"/>
  <c r="X172" i="4" l="1"/>
  <c r="Z172" i="4" s="1"/>
  <c r="AB172" i="4" s="1"/>
  <c r="Q170" i="4"/>
</calcChain>
</file>

<file path=xl/sharedStrings.xml><?xml version="1.0" encoding="utf-8"?>
<sst xmlns="http://schemas.openxmlformats.org/spreadsheetml/2006/main" count="1670" uniqueCount="445">
  <si>
    <t>LISTA</t>
  </si>
  <si>
    <t>ITEM</t>
  </si>
  <si>
    <t>CÓDIGO</t>
  </si>
  <si>
    <t>MATERIAL/SERVIÇO</t>
  </si>
  <si>
    <t>UNIDADE</t>
  </si>
  <si>
    <t>QUANTIDADE</t>
  </si>
  <si>
    <t>COTAÇÃO</t>
  </si>
  <si>
    <t>1.1</t>
  </si>
  <si>
    <t>-</t>
  </si>
  <si>
    <t>uni</t>
  </si>
  <si>
    <t>1.2</t>
  </si>
  <si>
    <t>1.3</t>
  </si>
  <si>
    <t>Conector MC4 acoplador femea, corrente nominal de 22A, tensão de operação de até 1000VDC</t>
  </si>
  <si>
    <t>1.4</t>
  </si>
  <si>
    <t>Conector MC4 acoplador macho, corrente nominal de 22A, tensão de operação de até 1000VDC</t>
  </si>
  <si>
    <t>1.5</t>
  </si>
  <si>
    <t>Cabo solar com condutor de cobre estanhado 0,6/1KV (1500 VDC) preto, temperatura de até 120ºC e resistência a raios UV 720h, não propagante a chama e baixa emissão de gases</t>
  </si>
  <si>
    <t>m</t>
  </si>
  <si>
    <t>1.6</t>
  </si>
  <si>
    <t>Cabo solar com condutor de cobre estanhado 0,6/1KV (1500 VDC) vermelho, temperatura de até 120ºC e resistência a raios UV 720h, não propagante a chama e baixa emissão de gases</t>
  </si>
  <si>
    <t>1.8</t>
  </si>
  <si>
    <t>Estrutura perfil de aluminio anodizado para fixação de 2 placas com comprimento de 2m - com entrada para parafuso cabeça de martelo e grampo intermediário, Com Grampo intermediário de alumínio 57 mm + porca "T" + Parafuso Sextavado pré-montado e Anodizado, ou Grampo terminador de alumínio 57 mm + Porca "T" + Parafuso sextavado pré-montado e anodizado.</t>
  </si>
  <si>
    <t>1.10</t>
  </si>
  <si>
    <t>Gancho de sustentação de aço inoxidável modelo cantoneira + Porca "T" + parafuso sextavado + 2 x parafuso auto atarraxante 6x60mm</t>
  </si>
  <si>
    <t>SINAPI</t>
  </si>
  <si>
    <t>1.9</t>
  </si>
  <si>
    <t>CABO DE COBRE FLEXÍVEL ISOLADO, 6 MM², ANTI-CHAMA 0,6/1,0 KV, PARA CIRCUITOS TERMINAIS - FORNECIMENTO E INSTALAÇÃO. AF_12/2015</t>
  </si>
  <si>
    <t>TERMINAL A COMPRESSAO EM COBRE ESTANHADO PARA CABO 6 MM2, 1 FURO E 1 COMPRESSAO, PARA PARAFUSO DE FIXACAO M6</t>
  </si>
  <si>
    <t>UNI</t>
  </si>
  <si>
    <t>1.11</t>
  </si>
  <si>
    <t>1.12</t>
  </si>
  <si>
    <t>PATCH CORD, CATEGORIA 5 E, EXTENSAO DE 2,50 M</t>
  </si>
  <si>
    <t>1.13</t>
  </si>
  <si>
    <t>PARAFUSO, AUTO ATARRACHANTE, CABECA CHATA, FENDA SIMPLES, 1/4 (6,35 MM) X 25 MM</t>
  </si>
  <si>
    <t>cento</t>
  </si>
  <si>
    <t>1 - SISTEMA FOTOVOLTAICO</t>
  </si>
  <si>
    <t>2 - INFRAESTRUTURA E CABEAMENTO ELÉTRICO</t>
  </si>
  <si>
    <t>2.1</t>
  </si>
  <si>
    <t>FITA ISOLANTE ADESIVA ANTICHAMA, USO ATE 750 V, EM ROLO DE 19 MM X 20 M</t>
  </si>
  <si>
    <t>2.2</t>
  </si>
  <si>
    <t>FITA ISOLANTE DE BORRACHA AUTOFUSAO, USO ATE 69 KV (ALTA TENSAO)</t>
  </si>
  <si>
    <t>2.3</t>
  </si>
  <si>
    <t>CABO DE COBRE FLEXÍVEL ISOLADO, 10 MM², ANTI-CHAMA 0,6/1,0 KV, PARA CIRCUITOS TERMINAIS - FORNECIMENTO E INSTALAÇÃO</t>
  </si>
  <si>
    <t>2.4</t>
  </si>
  <si>
    <t>CAIXA ENTERRADA ELÉTRICA RETANGULAR, EM ALVENARIA COM TIJOLOS CERÂMICOS MACIÇOS, FUNDO COM BRITA, DIMENSÕES INTERNAS: 0,4X0,4X0,4 M</t>
  </si>
  <si>
    <t>2.5</t>
  </si>
  <si>
    <t>ELETRODUTO FLEXÍVEL CORRUGADO, PVC, DN 25 MM (3/4"), PARA CIRCUITOS TERMINAIS, INSTALADO EM FORRO - FORNECIMENTO E INSTALAÇÃO</t>
  </si>
  <si>
    <t>2.6</t>
  </si>
  <si>
    <t>DUTO ESPIRAL FLEXIVEL SINGELO PEAD D=50MM(2") REVESTIDO COM PVC COM FIO GUIA DE ACO GALVANIZADO, LANCADO DIRETO NO SOLO, INCL CONEXOES</t>
  </si>
  <si>
    <t>2.7</t>
  </si>
  <si>
    <t>ABRACADEIRA DE NYLON PARA AMARRACAO DE CABOS, COMPRIMENTO DE *230* X *7,6* MM</t>
  </si>
  <si>
    <t>2.8</t>
  </si>
  <si>
    <t>ABRACADEIRA DE NYLON PARA AMARRACAO DE CABOS, COMPRIMENTO DE 390 X *4,6* MM</t>
  </si>
  <si>
    <t>3 - STRINGBOX DE PROTEÇÃO</t>
  </si>
  <si>
    <t>3.1</t>
  </si>
  <si>
    <t>Quadro de comando IP66 40x30x20cm</t>
  </si>
  <si>
    <t>3.2</t>
  </si>
  <si>
    <t>Dispositivo de proteção contra surto 1P 1000V / 40kA</t>
  </si>
  <si>
    <t>3.3</t>
  </si>
  <si>
    <t>porta fusível com fusível solar 10x38 15A / 1000Vdc</t>
  </si>
  <si>
    <t>3.4</t>
  </si>
  <si>
    <t>chave seccionadora corrente contínua 1000V 32A</t>
  </si>
  <si>
    <t>3.5</t>
  </si>
  <si>
    <t>3.6</t>
  </si>
  <si>
    <t>TERMINAL A COMPRESSAO EM COBRE ESTANHADO PARA CABO 2,5 MM2, 1 FURO E 1 COMPRESSAO, PARA PARAFUSO DE FIXACAO M5</t>
  </si>
  <si>
    <t>3.7</t>
  </si>
  <si>
    <t>Bloco de distribuição modular 125A - 11 Furos e 2 barramentos</t>
  </si>
  <si>
    <t>3.8</t>
  </si>
  <si>
    <t>ELETRICISTA COM ENCARGOS COMPLEMENTARES (montagem quadro stringbox)</t>
  </si>
  <si>
    <t>HH</t>
  </si>
  <si>
    <t>4 - PADRÃO DE ENTRADA DE ENERGIA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</si>
  <si>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</si>
  <si>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</si>
  <si>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</si>
  <si>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</si>
  <si>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</si>
  <si>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</si>
  <si>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</si>
  <si>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</si>
  <si>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</si>
  <si>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</si>
  <si>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kg</t>
  </si>
  <si>
    <t>CABO DE COBRE, RIGIDO, CLASSE 2, ISOLACAO EM PVC/A, ANTICHAMA BWF-B, 1 CONDUTOR, 450/750 V, SECAO NOMINAL 95 MM2</t>
  </si>
  <si>
    <t>CABO DE COBRE, RIGIDO, CLASSE 2, ISOLACAO EM PVC/A, ANTICHAMA BWF-B, 1 CONDUTOR, 450/750 V, SECAO NOMINAL 50 MM2</t>
  </si>
  <si>
    <t>M</t>
  </si>
  <si>
    <t>DISJUNTOR TERMOMAGNETICO TRIPOLAR 200 A / 600 V, TIPO FXD / ICC - 35 KA</t>
  </si>
  <si>
    <t>CONECTOR METALICO TIPO PARAFUSO FENDIDO (SPLIT BOLT), PARA CABOS ATE 95 MM2</t>
  </si>
  <si>
    <t>AUXILIAR DE ELETRICISTA COM ENCARGOS COMPLEMENTARES</t>
  </si>
  <si>
    <t>TERMINAL OU CONECTOR DE PRESSAO - PARA CABO 95MM2 - FORNECIMENTO E INSTALACAO</t>
  </si>
  <si>
    <t>TERMINAL OU CONECTOR DE PRESSAO - PARA CABO 50MM2 - FORNECIMENTO E INSTALACAO</t>
  </si>
  <si>
    <t>CAIXA ENTERRADA ELÉTRICA RETANGULAR, EM ALVENARIA COM BLOCOS DE CONCRETO, FUNDO COM BRITA, DIMENSÕES INTERNAS: 0,8X0,8X0,6 M</t>
  </si>
  <si>
    <t>DUTO ESPIRAL FLEXIVEL SINGELO PEAD D=75MM(3") REVESTIDO COM PVC COM FIO GUIA DE ACO GALVANIZADO, LANCADO DIRETO NO SOLO, INCL CONEXOES</t>
  </si>
  <si>
    <t>5 - QUADRO GERAL DE BAIXA TENSÃO (QGBT)</t>
  </si>
  <si>
    <t>5.1</t>
  </si>
  <si>
    <t>5.2</t>
  </si>
  <si>
    <t>DISJUNTOR TERMOMAGNETICO TRIPOLAR PADRAO NEMA (AMERICANO) 90A 240V, FORNECIMENTO E INSTALACAO</t>
  </si>
  <si>
    <t>5.3</t>
  </si>
  <si>
    <t>DISJUNTOR TERMOMAGNETICO TRIPOLAR PADRAO NEMA (AMERICANO) 50A 240V, FORNECIMENTO E INSTALACAO</t>
  </si>
  <si>
    <t>5.4</t>
  </si>
  <si>
    <t>DISJUNTOR TERMOMAGNETICO BIPOLAR PADRAO NEMA (AMERICANO) 20A 240V, FORNECIMENTO E INSTALACAO</t>
  </si>
  <si>
    <t>5.5</t>
  </si>
  <si>
    <t>5.6</t>
  </si>
  <si>
    <t>TERMINAL OU CONECTOR DE PRESSAO - PARA CABO 70MM2 - FORNECIMENTO E INSTALACAO</t>
  </si>
  <si>
    <t>5.7</t>
  </si>
  <si>
    <t>5.8</t>
  </si>
  <si>
    <t>TERMINAL OU CONECTOR DE PRESSAO - PARA CABO 10MM2 - FORNECIMENTO E INSTALACAO</t>
  </si>
  <si>
    <t>5.9</t>
  </si>
  <si>
    <t>CABO DE COBRE FLEXÍVEL ISOLADO, 95 MM², ANTI-CHAMA 0,6/1,0 KV, PARA DISTRIBUIÇÃO - FORNECIMENTO E INSTALAÇÃO</t>
  </si>
  <si>
    <t>5.10</t>
  </si>
  <si>
    <t>CABO DE COBRE FLEXÍVEL ISOLADO, 70 MM², ANTI-CHAMA 0,6/1,0 KV, PARA DISTRIBUIÇÃO - FORNECIMENTO E INSTALAÇÃO</t>
  </si>
  <si>
    <t>5.11</t>
  </si>
  <si>
    <t>CABO DE COBRE FLEXÍVEL ISOLADO, 50 MM², ANTI-CHAMA 0,6/1,0 KV, PARA DISTRIBUIÇÃO - FORNECIMENTO E INSTALAÇÃO</t>
  </si>
  <si>
    <t>5.12</t>
  </si>
  <si>
    <t>5.13</t>
  </si>
  <si>
    <t>BARRAMENTO COBRE 200A</t>
  </si>
  <si>
    <t>5.14</t>
  </si>
  <si>
    <t>BARRAMENTO COBRE 90A</t>
  </si>
  <si>
    <t>5.15</t>
  </si>
  <si>
    <t>ISOLADOR EPOXI 30X30MM ROSCA 1/4 COM PARAFUSO SEXTAVADO 1/4X1/2"</t>
  </si>
  <si>
    <t>5.16</t>
  </si>
  <si>
    <t>CONECTOR RETO DE ALUMINIO PARA ELETRODUTO DE 3", PARA ADAPTAR ENTRADA DE ELETRODUTO METALICO FLEXIVEL EM QUADROS</t>
  </si>
  <si>
    <t>5.17</t>
  </si>
  <si>
    <t>5.18</t>
  </si>
  <si>
    <t>5.19</t>
  </si>
  <si>
    <t>6 - ABRIGO DOS INVERSORES</t>
  </si>
  <si>
    <t>6.1</t>
  </si>
  <si>
    <t>ELETRODUTO RÍGIDO ROSCÁVEL, PVC, DN 60 MM (2") - FORNECIMENTO E INSTALAÇÃO. AF_12/2015</t>
  </si>
  <si>
    <t>6.2</t>
  </si>
  <si>
    <t>CURVA 90 GRAUS PARA ELETRODUTO, PVC, ROSCÁVEL, DN 60 MM (2") - FORNECIMENTO E INSTALAÇÃO.</t>
  </si>
  <si>
    <t>6.3</t>
  </si>
  <si>
    <t>LUVA PARA ELETRODUTO, PVC, ROSCÁVEL, DN 60 MM (2") - FORNECIMENTO E INSTALAÇÃO.</t>
  </si>
  <si>
    <t>6.4</t>
  </si>
  <si>
    <t>CONECTOR RETO DE ALUMINIO PARA ELETRODUTO DE 2", PARA ADAPTAR ENTRADA DE ELETRODUTO METALICO FLEXIVEL EM QUADROS</t>
  </si>
  <si>
    <t>6.5</t>
  </si>
  <si>
    <t>BUCHA EM ALUMINIO, COM ROSCA, DE 2", PARA ELETRODUTO</t>
  </si>
  <si>
    <t>6.6</t>
  </si>
  <si>
    <t>ARRUELA EM ALUMINIO, COM ROSCA, DE 2", PARA ELETRODUTO</t>
  </si>
  <si>
    <t>6.7</t>
  </si>
  <si>
    <t>CONDULETE DE ALUMINIO TIPO T, PARA ELETRODUTO ROSCAVEL DE 2", COM TAMPA CEGA</t>
  </si>
  <si>
    <t>6.8</t>
  </si>
  <si>
    <t>CONECTOR DE ALUMINIO TIPO PRENSA CABO, BITOLA 2", PARA CABOS DE DIAMETRO DE 47,5 A 50 MM</t>
  </si>
  <si>
    <t>6.9</t>
  </si>
  <si>
    <t>DISJUNTOR TRIPOLAR TIPO DIN, CORRENTE NOMINAL DE 20A - FORNECIMENTO E INSTALAÇÃO</t>
  </si>
  <si>
    <t>6.10</t>
  </si>
  <si>
    <t>CONTATOR TRIPOLAR, CORRENTE DE 9 A, TENSAO NOMINAL DE *500* V, CATEGORIA AC-2 E AC-3</t>
  </si>
  <si>
    <t>6.12</t>
  </si>
  <si>
    <t>6.13</t>
  </si>
  <si>
    <t>6.14</t>
  </si>
  <si>
    <t xml:space="preserve">ELETRICISTA COM ENCARGOS COMPLEMENTARES </t>
  </si>
  <si>
    <t>ESTACA BROCA DE CONCRETO, DIÃMETRO DE 20 CM, PROFUNDIDADE DE ATÉ 3 M</t>
  </si>
  <si>
    <t>unid</t>
  </si>
  <si>
    <t>ESCAVAÇÃO MANUAL PARA BLOCO DE COROAMENTO OU SAPATA, COM PREVISÃO DE FÔRMA</t>
  </si>
  <si>
    <t>m³</t>
  </si>
  <si>
    <t>ESCAVAÇÃO MANUAL DE VALA PARA VIGA BALDRAME, COM PREVISÃO DE FÔRMA</t>
  </si>
  <si>
    <t>ARMAÇÃO DE PILAR OU VIGA DE UMA ESTRUTURA CONVENCIONAL DE CONCRETO ARMADO EM UMA EDIFICAÇÃO TÉRREA OU SOBRADO UTILIZANDO AÇO CA-50 DE 8,0 MM</t>
  </si>
  <si>
    <t>CONCRETAGEM DE PILARES, FCK = 25 MPA, COM USO DE BALDES EM EDIFICAÇÃO COM SEÇÃO MÉDIA DE PILARES MENOR OU IGUAL A 0,25 M² - LANÇAMENTO, ADENSAMENTO E ACABAMENTO</t>
  </si>
  <si>
    <t>FABRICAÇÃO, MONTAGEM E DESMONTAGEM DE FÔRMA PARA VIGA BALDRAME E VIGA CINTA, EM MADEIRA SERRADA, E=25 MM, 1 UTILIZAÇÃO</t>
  </si>
  <si>
    <t>m²</t>
  </si>
  <si>
    <t>LAJE PRE-MOLD BETA 11 P/1KN/M2 VAOS 4,40M/INCL VIGOTAS TIJOLOS ARMADURA NEGATIVA CAPEAMENTO 3CM CONCRETO 20MPA ESCORAMENTO MATERIAL E MAO DE OBRA</t>
  </si>
  <si>
    <t>CONCRETAGEM DE VIGAS , FCK=20 MPA, PARA QUALQUER TIPO DE LAJE COM BALDES EM EDIFICAÇÃO TÉRREA, COM ÁREA MÉDIA DE LAJES MENOR OU IGUAL A 20 M² - LANÇAMENTO, ADENSAMENTO E ACABAMENTO</t>
  </si>
  <si>
    <t>FABRICAÇÃO, MONTAGEM E DESMONTAGEM DE FÔRMA PARA BLOCO DE COROAMENTO EM MADEIRA SERRADA, E=25 MM, 1 UTILIZAÇÃO</t>
  </si>
  <si>
    <t>ARMAÇÃO DE BLOCO, VIGA BALDRAME OU SAPATA UTILIZANDO AÇO CA-50 DE 8 MM</t>
  </si>
  <si>
    <t>CONCRETAGEM DE VIGAS E LAJES, FCK=20 MPA, PARA QUALQUER TIPO DE LAJE COM BALDES EM EDIFICAÇÃO TÉRREA, COM ÁREA MÉDIA DE LAJES MENOR OU IGUAL A 20 M² - LANÇAMENTO, ADENSAMENTO E ACABAMENTO</t>
  </si>
  <si>
    <t>CONCRETAGEM DE BLOCOS DE COROAMENTO , FCK 30 MPA, COM USO DE JERICA LANÇAMENTO, ADENSAMENTO E ACABAMENTO</t>
  </si>
  <si>
    <t>ALVENARIA DE VEDAÇÃO DE BLOCOS CERÂMICOS FURADOS NA VERTICAL DE 14X19X39CM (ESPESSURA 14CM) DE PAREDES COM ÁREA LÍQUIDA MENOR QUE 6M² SEM VÃOS E ARGAMASSA DE ASSENTAMENTO COM PREPARO MANUAL</t>
  </si>
  <si>
    <t>CHAPISCO APLICADO EM ALVENARIAS E ESTRUTURAS DE CONCRETO INTERNAS, COM COLHER DE PEDREIRO. ARGAMASSA TRAÇO 1:3</t>
  </si>
  <si>
    <t xml:space="preserve">EMBOÇO OU MASSA ÚNICA EM ARGAMASSA TRAÇO 1:2:8, PREPARO MANUAL, APLICADA MANUALMENTE EM PANOS DE FACHADA COM PRESENÇA DE VÃOS, ESPESSURA DE 2 5MM </t>
  </si>
  <si>
    <t>LASTRO DE CONCRETO, PREPARO MECÂNICO, INCLUSOS ADITIVO IMPERMEABILIZANTE, LANÇAMENTO E ADENSAMENTO</t>
  </si>
  <si>
    <t>PISO CIMENTADO, TRAÇO 1:3 (CIMENTO E AREIA), ACABAMENTO LISO, ESPESSURA 2,0 CM, PREPARO MECÂNICO DA ARGAMASSA</t>
  </si>
  <si>
    <t>INTERRUPTOR SIMPLES (1 MÓDULO) COM 1 TOMADA DE EMBUTIR 2P+T 10 A LUINDO SUPORTE E PLACA - FORNECIMENTO E INSTALAÇÃO</t>
  </si>
  <si>
    <t>LUMINÁRIA TIPO CALHA, DE SOBREPOR, COM 2 LÂMPADAS TUBULARES DE 36 W FORNECIMENTO E INSTALAÇÃO</t>
  </si>
  <si>
    <t>ELETRODUTO RÍGIDO ROSCÁVEL, PVC, DN 25 MM (3/4"), PARA CIRCUITOS TERMINAIS, INSTALADO EM FORRO - FORNECIMENTO E INSTALAÇÃO</t>
  </si>
  <si>
    <t>CABO DE COBRE FLEXÍVEL ISOLADO, 2,5 MM², ANTI-CHAMA 450/750 V, PARA CIRCUITOS - FORNECIMENTO E INSTALAÇÃO</t>
  </si>
  <si>
    <t>APLICAÇÃO DE FUNDO SELADOR LÁTEX PVA EM PAREDES, UMA DEMÃO</t>
  </si>
  <si>
    <t>PINTURA ESMALTE FOSCO, DUAS DEMAOS, SOBRE SUPERFICIE METALICA, INCLUSO UMA DEMAO DE FUNDO ANTICORROSIVO. UTILIZACAO DE REVOLVER</t>
  </si>
  <si>
    <t>TEXTURA ACRÍLICA, APLICAÇÃO MANUAL EM PAREDE, UMA DEMÃO</t>
  </si>
  <si>
    <t>IMPERMEAB. DE FUNDACOES/BALDRAMES/MUROS DE ARRIMO/ALICERCES E REVESTEM CONTATO C/SOLO - UTILIZ. TINTA BETUMINOSA TIPO NEUTROLIN / 2DEMAOS</t>
  </si>
  <si>
    <t>IMPERMEABILIZACAO DE SUPERFICIE COM MASTIQUE BETUMINOSO A FRIO 3  DEMÃOS</t>
  </si>
  <si>
    <t>m2</t>
  </si>
  <si>
    <t>1.7</t>
  </si>
  <si>
    <t>6.11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</si>
  <si>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</si>
  <si>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</si>
  <si>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</si>
  <si>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</si>
  <si>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</si>
  <si>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</si>
  <si>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</si>
  <si>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</si>
  <si>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</si>
  <si>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</si>
  <si>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</si>
  <si>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</si>
  <si>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</si>
  <si>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</si>
  <si>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</si>
  <si>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</si>
  <si>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</si>
  <si>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</si>
  <si>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</si>
  <si>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</si>
  <si>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</si>
  <si>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</si>
  <si>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</si>
  <si>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</si>
  <si>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6.39</t>
  </si>
  <si>
    <t>6.40</t>
  </si>
  <si>
    <t>7.1</t>
  </si>
  <si>
    <t>unid.</t>
  </si>
  <si>
    <t>DEMOLIÇÃO DE ALVENARIA DE BLOCO FURADO, DE FORMA MANUAL, SEM REAPROVEITAMENTO</t>
  </si>
  <si>
    <t>TAPUME COM TELHA METÁLICA</t>
  </si>
  <si>
    <t>AUXILIAR DE SERRALHEIRO COM ENCARGOS COMPLEMENTARES (RETIRADA E RECOLOCAÇÃO DE PORTÃO)</t>
  </si>
  <si>
    <t>hh</t>
  </si>
  <si>
    <t>SERRALHEIRO COM ENCARGOS COMPLEMENTARES  (RETIRADA E RECOLOCAÇÃO DE PORTÃO)</t>
  </si>
  <si>
    <t>DEMOLIÇÃO DE PAVIMENTO INTERTRAVADO, DE FORMA MANUAL, COM REAPROVEITAMENTO</t>
  </si>
  <si>
    <t>REMOÇÃO DE TAPUME/ CHAPAS METÁLICAS E DE MADEIRA, DE FORMA MANUAL, SEM  REAPROV.</t>
  </si>
  <si>
    <t>PLANTIO DE ÁRVORE ORNAMENTAL COM ALTURA DE MUDA MAIOR QUE 2,00 M E MENOR OU IGUAL A 4,00 M.</t>
  </si>
  <si>
    <t xml:space="preserve">RECOMPOSICAO DE PAVIMENTACAO TIPO BLOKRET SOBRE COLCHAO DE AREIA </t>
  </si>
  <si>
    <t>EXECUÇÃO DE PÁTIO/ESTACIONAMENTO EM PISO INTERTRAVADO, COM BLOCO RETANGULAR COR NATURAL DE 20 X 10 CM, ESPESSURA 8 CM.</t>
  </si>
  <si>
    <t>ALVENARIA DE VEDAÇÃO DE BLOCOS CERÂMICOS FURADOS NA VERTICAL DE 14X19X39CM (ESPESSURA 14CM) DE PAREDES COM ÁREA LÍQUIDA MENOR QUE 6M² SEM VÃOS E ARGAMASSA DE ASSENTAMENTO COM PREPARO MANUAL (MURO)</t>
  </si>
  <si>
    <t>FABRICAÇÃO, MONTAGEM E DESMONTAGEM DE FÔRMA PARA BLOCO DE COROAMENTO EM MADEIRA SERRADA, E=25 MM, 1 UTILIZAÇÃO (MURO)</t>
  </si>
  <si>
    <t>CONCRETAGEM DE BLOCOS DE COROAMENTO, FCK 30 MPA, COM USO DE JERICA LANÇAMENTO, ADENSAMENTO E ACABAMENTO</t>
  </si>
  <si>
    <t>LUMINÁRIA TIPO CALHA, DE SOBREPOR, COM 2 LÂMPADAS TUBULARES DE 36 W FORNECIMENTO E INSTALAÇÃO (ESTACIONAMENTO)</t>
  </si>
  <si>
    <t>LIMPEZA DE SUPERFÍCIE COM JATO DE ALTA PRESSÃO.</t>
  </si>
  <si>
    <t>CUSTO TOTAL SEM BDI</t>
  </si>
  <si>
    <t>CUSTO UNITÁRIO Mão de obra</t>
  </si>
  <si>
    <t>BDI (%)</t>
  </si>
  <si>
    <t>CUSTO UNITÁRIO  SEM BDI</t>
  </si>
  <si>
    <t>PREÇO TOTAL COM BDI Material</t>
  </si>
  <si>
    <t>PREÇO TOTAL COM BDI    Mão de obra</t>
  </si>
  <si>
    <t>PREÇO TOTAL COM BDI</t>
  </si>
  <si>
    <t>ELETRICISTA COM ENCARGOS COMPLEMENTARES (montagem quadro QGBT)</t>
  </si>
  <si>
    <t>1.14</t>
  </si>
  <si>
    <t>1.15</t>
  </si>
  <si>
    <t xml:space="preserve">Inversor solar trifásico 220V - 60Hz; tensão de entrada de 300V a 1.000V, tensão e saída de 220V Potência nominal de saída 15kVA com pelo menos 1 MPPT, homologado no Inmetro e com todas as proteções e sistema de monitoramento, conforme especificações do caderno de encargos </t>
  </si>
  <si>
    <t>SINAPI referencia agosto de 2019 Desonerado</t>
  </si>
  <si>
    <t>1.16</t>
  </si>
  <si>
    <t>1.17</t>
  </si>
  <si>
    <t>Anotação de Responsabilidade Técnica (ART / CREA)</t>
  </si>
  <si>
    <t>REMOÇÃO OU CORTE RASO E RECORTE DE ÁRVORE COM DIÂMETRO DE TRONCO MAIOR OU IGUAL A 0,40 M E MENOR QUE 0,60 M.</t>
  </si>
  <si>
    <t>Caçamba para remoção de entulho</t>
  </si>
  <si>
    <t>C 91931</t>
  </si>
  <si>
    <t>I 1573</t>
  </si>
  <si>
    <t>I 39605</t>
  </si>
  <si>
    <t>I 40552</t>
  </si>
  <si>
    <t>I 20111</t>
  </si>
  <si>
    <t>I 404</t>
  </si>
  <si>
    <t>C 91933</t>
  </si>
  <si>
    <t>CUSTO UNITÁRIO Material, Equipamento, Outros</t>
  </si>
  <si>
    <t>C 97887</t>
  </si>
  <si>
    <t>C 91834</t>
  </si>
  <si>
    <t xml:space="preserve"> C 73798/001</t>
  </si>
  <si>
    <t>I 412</t>
  </si>
  <si>
    <t>I 408</t>
  </si>
  <si>
    <t>I 1570</t>
  </si>
  <si>
    <t>CONECTOR PARAFUSO FENDIDO SPLIT-BOLT - PARA CABO DE 16MM2 - FORNECIMENTO E INSTALACAO</t>
  </si>
  <si>
    <t>C 72271</t>
  </si>
  <si>
    <t>C 88264</t>
  </si>
  <si>
    <t>C 88266</t>
  </si>
  <si>
    <t>C 91677</t>
  </si>
  <si>
    <t>C 88243</t>
  </si>
  <si>
    <t>ELETRICISTA COM ENCARGOS COMPLEMENTARES (montagem do padrão de entrada)</t>
  </si>
  <si>
    <t>ELETRICISTA COM ENCARGOS COMPLEMENTARES (montagem do abrigo)</t>
  </si>
  <si>
    <t>I 989</t>
  </si>
  <si>
    <t>I 1007</t>
  </si>
  <si>
    <t>I 2377</t>
  </si>
  <si>
    <t>I 11864</t>
  </si>
  <si>
    <t>C 73782/003</t>
  </si>
  <si>
    <t>C 72263</t>
  </si>
  <si>
    <t>C 97893</t>
  </si>
  <si>
    <t>C 73798/003</t>
  </si>
  <si>
    <t>C 88247</t>
  </si>
  <si>
    <t>C 74130/005</t>
  </si>
  <si>
    <t>C 74130/004</t>
  </si>
  <si>
    <t>C 74130/003</t>
  </si>
  <si>
    <t>I 1590</t>
  </si>
  <si>
    <t>I 1589</t>
  </si>
  <si>
    <t>I 1535</t>
  </si>
  <si>
    <t>C 92992</t>
  </si>
  <si>
    <t>C 92990</t>
  </si>
  <si>
    <t>C 92988</t>
  </si>
  <si>
    <t>I 2484</t>
  </si>
  <si>
    <t>C 93009</t>
  </si>
  <si>
    <t>C 93020</t>
  </si>
  <si>
    <t>C 93014</t>
  </si>
  <si>
    <t>I 2489</t>
  </si>
  <si>
    <t>I 39179</t>
  </si>
  <si>
    <t>I 39213</t>
  </si>
  <si>
    <t>C 93669</t>
  </si>
  <si>
    <t>I 2577</t>
  </si>
  <si>
    <t>I 1603</t>
  </si>
  <si>
    <t>I 1612</t>
  </si>
  <si>
    <t>C 98228</t>
  </si>
  <si>
    <t>C 96523</t>
  </si>
  <si>
    <t>C 96527</t>
  </si>
  <si>
    <t>C 92777</t>
  </si>
  <si>
    <t>C 92718</t>
  </si>
  <si>
    <t>C 96530</t>
  </si>
  <si>
    <t>C 74141/001</t>
  </si>
  <si>
    <t>C 92741</t>
  </si>
  <si>
    <t>C 96528</t>
  </si>
  <si>
    <t>C 96545</t>
  </si>
  <si>
    <t>C 96555</t>
  </si>
  <si>
    <t>C 87474</t>
  </si>
  <si>
    <t>C 87879</t>
  </si>
  <si>
    <t>C 87777</t>
  </si>
  <si>
    <t>C 83534</t>
  </si>
  <si>
    <t>C 98679</t>
  </si>
  <si>
    <t>C 92023</t>
  </si>
  <si>
    <t>C 97586</t>
  </si>
  <si>
    <t>C 91863</t>
  </si>
  <si>
    <t>C 91926</t>
  </si>
  <si>
    <t>C 88483</t>
  </si>
  <si>
    <t>C 74145/001</t>
  </si>
  <si>
    <t>C 95305</t>
  </si>
  <si>
    <t>C 74106/001</t>
  </si>
  <si>
    <t>C 74190/001</t>
  </si>
  <si>
    <t>C 97622</t>
  </si>
  <si>
    <t>C 98459</t>
  </si>
  <si>
    <t>C 88251</t>
  </si>
  <si>
    <t>C 88315</t>
  </si>
  <si>
    <t>C 97635</t>
  </si>
  <si>
    <t>C 97637</t>
  </si>
  <si>
    <t>C 98530</t>
  </si>
  <si>
    <t>C 98511</t>
  </si>
  <si>
    <t>C 83694</t>
  </si>
  <si>
    <t>C 92398</t>
  </si>
  <si>
    <t>C 99814</t>
  </si>
  <si>
    <t>ROTEADOR WIRELESS IWR 3000N 300MBPS INTELBRAS OU SIMILAR</t>
  </si>
  <si>
    <t>ELETROTÉCNICO COM ENCARGOS COMPLEMENTARES (montagem do sistema)</t>
  </si>
  <si>
    <t>AJUDANTE ESPECIALIZADO  (montagem do sistema)</t>
  </si>
  <si>
    <t>1.18</t>
  </si>
  <si>
    <t>I 10527</t>
  </si>
  <si>
    <t>m x mês</t>
  </si>
  <si>
    <t>LOCACAO DE ANDAIME METALICO TUBULAR DE ENCAIXE, TIPO DE TORRE, COM LARGURA MXMES 12,50 DE 1 ATE 1,5 M E ALTURA DE *1,00* M</t>
  </si>
  <si>
    <t>8 - OUTROS SERVIÇOS</t>
  </si>
  <si>
    <t>7 - ESTRUTURA DE SUPORTE DOS PAINÉIS FOTOVOLTAICOS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</si>
  <si>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</si>
  <si>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</si>
  <si>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</si>
  <si>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</si>
  <si>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</si>
  <si>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</si>
  <si>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</si>
  <si>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</si>
  <si>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</si>
  <si>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</si>
  <si>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</si>
  <si>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</si>
  <si>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</si>
  <si>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</si>
  <si>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</si>
  <si>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</si>
  <si>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</si>
  <si>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</si>
  <si>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</si>
  <si>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</si>
  <si>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</si>
  <si>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</si>
  <si>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</si>
  <si>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</si>
  <si>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</si>
  <si>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</si>
  <si>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</si>
  <si>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</si>
  <si>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</si>
  <si>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</si>
  <si>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9.1</t>
  </si>
  <si>
    <t>9 - SISTEMA DE PROTEÇÃO CONTRA DESCARGAS ATMOSFÉRICAS (SPDA)</t>
  </si>
  <si>
    <t>9.2</t>
  </si>
  <si>
    <t>9.3</t>
  </si>
  <si>
    <t>9.4</t>
  </si>
  <si>
    <t>9.5</t>
  </si>
  <si>
    <t>9.6</t>
  </si>
  <si>
    <t>TERMINAL OU CONECTOR DE PRESSAO - PARA CABO 35MM2 - FORNECIMENTO E INSTALACAO</t>
  </si>
  <si>
    <t>CONECTOR METALICO TIPO PARAFUSO FENDIDO (SPLIT BOLT), PARA CABOS ATE 150 MM2</t>
  </si>
  <si>
    <t>ESCAVAÇÃO MANUAL DE VALA COM PROFUNDIDADE MENOR OU IGUAL A 1,30 M. AF_03/2016</t>
  </si>
  <si>
    <t>m3</t>
  </si>
  <si>
    <t>C 96977</t>
  </si>
  <si>
    <t>CORDOALHA DE COBRE NU 50 MM², ENTERRADA, SEM ISOLADOR - FORNECIMENTO E INSTALAÇÃO. AF_12/2017</t>
  </si>
  <si>
    <t xml:space="preserve">I </t>
  </si>
  <si>
    <t xml:space="preserve">M </t>
  </si>
  <si>
    <t xml:space="preserve">CR </t>
  </si>
  <si>
    <t>C</t>
  </si>
  <si>
    <t xml:space="preserve">AUXILIAR DE ELETRICISTA COM ENCARGOS COMPLEMENTARES </t>
  </si>
  <si>
    <t xml:space="preserve">H </t>
  </si>
  <si>
    <t>H</t>
  </si>
  <si>
    <t xml:space="preserve">MATERIAL : </t>
  </si>
  <si>
    <t xml:space="preserve">MAO DE OBRA : </t>
  </si>
  <si>
    <t xml:space="preserve">TOTAL COMPOSIÇÃO : </t>
  </si>
  <si>
    <t>ORIGEM DE PREÇO: CR</t>
  </si>
  <si>
    <t>96977 ADAPTADA</t>
  </si>
  <si>
    <t>CORDOALHA DE COBRE NU 35 MM², ENTERRADA, SEM ISOLADOR - FORNECIMENTO E INS TALAÇÃO. AF_12/2017</t>
  </si>
  <si>
    <t xml:space="preserve">CABO DE COBRE NU 35 MM2 MEIO-DURO </t>
  </si>
  <si>
    <t>72263 ADAPTADA</t>
  </si>
  <si>
    <t>UNID</t>
  </si>
  <si>
    <t>I</t>
  </si>
  <si>
    <t>CR</t>
  </si>
  <si>
    <t>TERMINAL OU CONECTOR DE PRESSAO - PARA CABO 35MM2 - FORNECIMENTO E INSTALAÇÃO</t>
  </si>
  <si>
    <t>TERMINAL METALICO A PRESSAO PARA 1 CABO DE 35 MM2, COM 1 FURO DE FIXACAO</t>
  </si>
  <si>
    <t>C 72263 ADAPT</t>
  </si>
  <si>
    <t>C 72272 ADAPT</t>
  </si>
  <si>
    <t>72272 ADAPTADA</t>
  </si>
  <si>
    <t>CONECTOR PARAFUSO FENDIDO SPLIT-BOLT - PARA CABO DE 150MM2 - FORNECIMENTO E INSTALAÇÃO</t>
  </si>
  <si>
    <t>C 93358</t>
  </si>
  <si>
    <t>9.7</t>
  </si>
  <si>
    <t>C 96995</t>
  </si>
  <si>
    <t>REATERRO MANUAL APILOADO COM SOQUETE. AF_10/2017</t>
  </si>
  <si>
    <t>9.8</t>
  </si>
  <si>
    <t>9.9</t>
  </si>
  <si>
    <t>C 96976</t>
  </si>
  <si>
    <t>CORDOALHA DE COBRE NU 35 MM², NÃO ENTERRADA, COM ISOLADOR - FORNECIMENTO E INSTALAÇÃO. AF_12/2017</t>
  </si>
  <si>
    <t>C 85188</t>
  </si>
  <si>
    <t>PORTAO EM TUBO DE ACO GALVANIZADO DIN 2440/NBR 5580, PAINEL UNICO, DIMENSOES 1,0X1,6M, INCLUSIVE CADEADO</t>
  </si>
  <si>
    <t>%</t>
  </si>
  <si>
    <t>R$</t>
  </si>
  <si>
    <t>1ª Etapa</t>
  </si>
  <si>
    <t>2ª Etapa</t>
  </si>
  <si>
    <t>3ª Etapa</t>
  </si>
  <si>
    <t>4ª Etapa</t>
  </si>
  <si>
    <t>Conferencia</t>
  </si>
  <si>
    <t>rolo</t>
  </si>
  <si>
    <t>ENGENHEIRO ELETRICISTA COM ENCARGOS COMPLEMENTARES (elaboração de projetos elétricos fotovoltaico e SPDA, aprovação na Energisa, supervisão e coordenação de serviços)</t>
  </si>
  <si>
    <t>Quadro de comando IP66 1200x800x35cm</t>
  </si>
  <si>
    <t>Mercado Livre (acrescimo de 15% para frete e diferença de ICMS)</t>
  </si>
  <si>
    <t>View  Tech (acrescimo de 15% para frete e diferença de ICMS)</t>
  </si>
  <si>
    <t>MÉDIA</t>
  </si>
  <si>
    <t>SUBCONTRATAÇÃO</t>
  </si>
  <si>
    <t>TOTAL</t>
  </si>
  <si>
    <t>TOTAL ACUMULADO</t>
  </si>
  <si>
    <t>8.31</t>
  </si>
  <si>
    <t>ADAPT</t>
  </si>
  <si>
    <t>MOBILIZAÇÃO/REMOBILIZAÇÃO E DESMOBILIZAÇÃO</t>
  </si>
  <si>
    <t>ADAPTADA</t>
  </si>
  <si>
    <t>ORIGEM DE PREÇO: C</t>
  </si>
  <si>
    <t>CAMINHÃO TOCO, PBT 16.000 KG, CARGA ÚTIL MÁX. 10.685 KG, DIST. ENTRE EIXOS</t>
  </si>
  <si>
    <t>CHP</t>
  </si>
  <si>
    <t>madereira Guassu 67-3541-1264; 7 dias de locação</t>
  </si>
  <si>
    <t>Elétrica Zan</t>
  </si>
  <si>
    <t>Elétrica Polo</t>
  </si>
  <si>
    <r>
      <t xml:space="preserve">Fornecimento e montagem de estruturas pré-moldadas de concreto armado, </t>
    </r>
    <r>
      <rPr>
        <sz val="11"/>
        <color theme="1"/>
        <rFont val="Arial"/>
        <family val="2"/>
      </rPr>
      <t>9.98 x 30.28M. Inclusive transporte, mobilizações, locação, ART, fundações e Terças Metálicas 127x50x20 – Enrijecidas – chapa 13 – fundo oxido, conforme orçamentos</t>
    </r>
  </si>
  <si>
    <t>Planilha de Quantitativos e Custos Unitários (PQCU)</t>
  </si>
  <si>
    <t>Painel solar 72 celulas policristalino 335Wp; Voc=45,5V; Isc = 9,3A, eficiência mínima de 16,2%; tensão de operação de até 1000V, dimensões máximas de 1.960x992x40 mm, peso máximo de 26kg, conforme especificações do caderno de encargos (considerou-se 48 placas por inversor)</t>
  </si>
  <si>
    <t>5ª Etapa</t>
  </si>
  <si>
    <t>Cronograma Descritivo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</si>
</sst>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* #,##0.00_-;\-&quot;R$&quot;* #,##0.00_-;_-&quot;R$&quot;* &quot;-&quot;??_-;_-@_-"/>
    <numFmt numFmtId="164" formatCode="_(&quot;R$ &quot;* #,##0.00_);_(&quot;R$ &quot;* \(#,##0.00\);_(&quot;R$ &quot;* &quot;-&quot;??_);_(@_)"/>
    <numFmt numFmtId="165" formatCode="dd\-mmm\-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</cellStyleXfs>
  <cellXfs count="113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left" vertical="center"/>
      <protection hidden="1"/>
    </xf>
    <xf numFmtId="1" fontId="2" fillId="2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2" fillId="4" borderId="1" xfId="0" applyFont="1" applyFill="1" applyBorder="1" applyAlignment="1" applyProtection="1">
      <alignment horizontal="left" vertical="center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1" fontId="2" fillId="4" borderId="1" xfId="0" applyNumberFormat="1" applyFont="1" applyFill="1" applyBorder="1" applyAlignment="1" applyProtection="1">
      <alignment horizontal="center" vertical="center"/>
      <protection hidden="1"/>
    </xf>
    <xf numFmtId="44" fontId="2" fillId="4" borderId="1" xfId="1" applyFont="1" applyFill="1" applyBorder="1" applyAlignment="1" applyProtection="1">
      <alignment horizontal="center" vertical="center"/>
      <protection hidden="1"/>
    </xf>
    <xf numFmtId="0" fontId="0" fillId="0" borderId="1" xfId="0" applyFont="1" applyFill="1" applyBorder="1" applyAlignment="1" applyProtection="1">
      <alignment horizontal="center" vertical="center"/>
      <protection hidden="1"/>
    </xf>
    <xf numFmtId="0" fontId="0" fillId="0" borderId="1" xfId="0" applyFont="1" applyFill="1" applyBorder="1" applyAlignment="1" applyProtection="1">
      <alignment horizontal="left" vertical="center" wrapText="1"/>
      <protection hidden="1"/>
    </xf>
    <xf numFmtId="44" fontId="2" fillId="2" borderId="1" xfId="1" applyFont="1" applyFill="1" applyBorder="1" applyAlignment="1" applyProtection="1">
      <alignment horizontal="center" vertical="center" wrapText="1"/>
      <protection hidden="1"/>
    </xf>
    <xf numFmtId="44" fontId="0" fillId="0" borderId="0" xfId="0" applyNumberFormat="1" applyFont="1"/>
    <xf numFmtId="44" fontId="3" fillId="3" borderId="1" xfId="1" applyFont="1" applyFill="1" applyBorder="1" applyAlignment="1" applyProtection="1">
      <alignment horizontal="center" vertical="center"/>
      <protection hidden="1"/>
    </xf>
    <xf numFmtId="44" fontId="2" fillId="7" borderId="1" xfId="1" applyFont="1" applyFill="1" applyBorder="1" applyAlignment="1" applyProtection="1">
      <alignment horizontal="center" vertical="center" wrapText="1"/>
      <protection hidden="1"/>
    </xf>
    <xf numFmtId="44" fontId="2" fillId="7" borderId="1" xfId="1" applyFont="1" applyFill="1" applyBorder="1" applyAlignment="1" applyProtection="1">
      <alignment horizontal="center" vertical="center"/>
      <protection hidden="1"/>
    </xf>
    <xf numFmtId="2" fontId="4" fillId="3" borderId="1" xfId="0" applyNumberFormat="1" applyFont="1" applyFill="1" applyBorder="1" applyAlignment="1" applyProtection="1">
      <alignment horizontal="center" vertical="center"/>
      <protection hidden="1"/>
    </xf>
    <xf numFmtId="0" fontId="0" fillId="5" borderId="1" xfId="0" applyFont="1" applyFill="1" applyBorder="1" applyAlignment="1" applyProtection="1">
      <alignment horizontal="center" vertical="center"/>
      <protection hidden="1"/>
    </xf>
    <xf numFmtId="0" fontId="0" fillId="3" borderId="1" xfId="0" applyFont="1" applyFill="1" applyBorder="1" applyAlignment="1" applyProtection="1">
      <alignment horizontal="center" vertical="center"/>
      <protection hidden="1"/>
    </xf>
    <xf numFmtId="0" fontId="0" fillId="3" borderId="1" xfId="0" applyFont="1" applyFill="1" applyBorder="1" applyAlignment="1" applyProtection="1">
      <alignment horizontal="left" vertical="center" wrapText="1"/>
      <protection hidden="1"/>
    </xf>
    <xf numFmtId="10" fontId="0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quotePrefix="1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left" vertical="center" wrapText="1"/>
      <protection hidden="1"/>
    </xf>
    <xf numFmtId="2" fontId="3" fillId="3" borderId="1" xfId="0" applyNumberFormat="1" applyFont="1" applyFill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 applyProtection="1">
      <alignment horizontal="left" vertical="center" wrapText="1"/>
      <protection hidden="1"/>
    </xf>
    <xf numFmtId="0" fontId="0" fillId="3" borderId="1" xfId="0" applyFont="1" applyFill="1" applyBorder="1" applyAlignment="1" applyProtection="1">
      <alignment horizontal="center" vertical="center" wrapText="1"/>
      <protection hidden="1"/>
    </xf>
    <xf numFmtId="2" fontId="0" fillId="3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Alignment="1">
      <alignment horizontal="left" vertical="center" wrapText="1"/>
    </xf>
    <xf numFmtId="0" fontId="2" fillId="4" borderId="1" xfId="0" applyFont="1" applyFill="1" applyBorder="1" applyAlignment="1" applyProtection="1">
      <alignment horizontal="left" vertical="center" wrapText="1"/>
      <protection hidden="1"/>
    </xf>
    <xf numFmtId="0" fontId="0" fillId="3" borderId="1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10" fontId="4" fillId="6" borderId="1" xfId="0" applyNumberFormat="1" applyFont="1" applyFill="1" applyBorder="1" applyAlignment="1">
      <alignment horizontal="center" vertical="center"/>
    </xf>
    <xf numFmtId="0" fontId="0" fillId="8" borderId="0" xfId="0" applyFill="1"/>
    <xf numFmtId="10" fontId="0" fillId="8" borderId="0" xfId="0" applyNumberFormat="1" applyFill="1"/>
    <xf numFmtId="10" fontId="0" fillId="0" borderId="0" xfId="2" applyNumberFormat="1" applyFont="1"/>
    <xf numFmtId="0" fontId="7" fillId="0" borderId="0" xfId="0" applyFont="1"/>
    <xf numFmtId="0" fontId="9" fillId="8" borderId="1" xfId="4" applyFont="1" applyFill="1" applyBorder="1" applyAlignment="1">
      <alignment horizontal="center"/>
    </xf>
    <xf numFmtId="165" fontId="9" fillId="8" borderId="2" xfId="3" applyNumberFormat="1" applyFont="1" applyFill="1" applyBorder="1" applyAlignment="1">
      <alignment horizontal="center"/>
    </xf>
    <xf numFmtId="165" fontId="9" fillId="8" borderId="3" xfId="3" applyNumberFormat="1" applyFont="1" applyFill="1" applyBorder="1" applyAlignment="1">
      <alignment horizontal="center"/>
    </xf>
    <xf numFmtId="165" fontId="9" fillId="9" borderId="2" xfId="3" applyNumberFormat="1" applyFont="1" applyFill="1" applyBorder="1" applyAlignment="1">
      <alignment horizontal="left"/>
    </xf>
    <xf numFmtId="165" fontId="9" fillId="9" borderId="3" xfId="3" applyNumberFormat="1" applyFont="1" applyFill="1" applyBorder="1" applyAlignment="1">
      <alignment horizontal="center"/>
    </xf>
    <xf numFmtId="0" fontId="9" fillId="9" borderId="1" xfId="4" applyFont="1" applyFill="1" applyBorder="1" applyAlignment="1">
      <alignment horizontal="center"/>
    </xf>
    <xf numFmtId="9" fontId="0" fillId="0" borderId="0" xfId="0" applyNumberFormat="1" applyFont="1"/>
    <xf numFmtId="44" fontId="0" fillId="8" borderId="1" xfId="0" applyNumberFormat="1" applyFont="1" applyFill="1" applyBorder="1"/>
    <xf numFmtId="10" fontId="0" fillId="8" borderId="1" xfId="0" applyNumberFormat="1" applyFont="1" applyFill="1" applyBorder="1"/>
    <xf numFmtId="0" fontId="3" fillId="3" borderId="1" xfId="0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>
      <alignment horizontal="center" vertical="center"/>
    </xf>
    <xf numFmtId="10" fontId="2" fillId="7" borderId="1" xfId="2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Alignment="1">
      <alignment horizontal="center" vertical="center"/>
    </xf>
    <xf numFmtId="0" fontId="0" fillId="9" borderId="0" xfId="0" applyFont="1" applyFill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0" fillId="0" borderId="1" xfId="0" applyBorder="1" applyAlignment="1">
      <alignment wrapText="1"/>
    </xf>
    <xf numFmtId="44" fontId="2" fillId="2" borderId="0" xfId="1" applyFont="1" applyFill="1" applyBorder="1" applyAlignment="1" applyProtection="1">
      <alignment horizontal="center" vertical="center" wrapText="1"/>
      <protection hidden="1"/>
    </xf>
    <xf numFmtId="10" fontId="2" fillId="7" borderId="1" xfId="1" applyNumberFormat="1" applyFont="1" applyFill="1" applyBorder="1" applyAlignment="1" applyProtection="1">
      <alignment horizontal="center" vertical="center"/>
      <protection hidden="1"/>
    </xf>
    <xf numFmtId="10" fontId="2" fillId="4" borderId="1" xfId="2" applyNumberFormat="1" applyFont="1" applyFill="1" applyBorder="1" applyAlignment="1" applyProtection="1">
      <alignment horizontal="center" vertical="center"/>
      <protection hidden="1"/>
    </xf>
    <xf numFmtId="44" fontId="2" fillId="9" borderId="1" xfId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44" fontId="0" fillId="3" borderId="1" xfId="1" applyFont="1" applyFill="1" applyBorder="1" applyAlignment="1" applyProtection="1">
      <alignment horizontal="center" vertical="center"/>
      <protection hidden="1"/>
    </xf>
    <xf numFmtId="0" fontId="7" fillId="6" borderId="1" xfId="0" applyFont="1" applyFill="1" applyBorder="1" applyAlignment="1">
      <alignment wrapText="1"/>
    </xf>
    <xf numFmtId="2" fontId="7" fillId="6" borderId="1" xfId="0" applyNumberFormat="1" applyFont="1" applyFill="1" applyBorder="1"/>
    <xf numFmtId="10" fontId="7" fillId="0" borderId="1" xfId="2" applyNumberFormat="1" applyFont="1" applyBorder="1"/>
    <xf numFmtId="10" fontId="2" fillId="7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/>
    <xf numFmtId="0" fontId="0" fillId="0" borderId="0" xfId="0" applyFont="1" applyFill="1"/>
    <xf numFmtId="165" fontId="9" fillId="0" borderId="3" xfId="3" applyNumberFormat="1" applyFont="1" applyFill="1" applyBorder="1" applyAlignment="1">
      <alignment horizontal="center"/>
    </xf>
    <xf numFmtId="165" fontId="9" fillId="0" borderId="2" xfId="3" applyNumberFormat="1" applyFont="1" applyFill="1" applyBorder="1" applyAlignment="1">
      <alignment horizontal="left"/>
    </xf>
    <xf numFmtId="0" fontId="2" fillId="0" borderId="1" xfId="0" applyFont="1" applyFill="1" applyBorder="1" applyAlignment="1" applyProtection="1">
      <alignment horizontal="left" vertical="center"/>
      <protection hidden="1"/>
    </xf>
    <xf numFmtId="44" fontId="2" fillId="0" borderId="1" xfId="1" applyFont="1" applyFill="1" applyBorder="1" applyAlignment="1" applyProtection="1">
      <alignment horizontal="center" vertical="center" wrapText="1"/>
      <protection hidden="1"/>
    </xf>
    <xf numFmtId="44" fontId="2" fillId="0" borderId="0" xfId="1" applyFont="1" applyFill="1" applyBorder="1" applyAlignment="1" applyProtection="1">
      <alignment horizontal="center" vertical="center" wrapText="1"/>
      <protection hidden="1"/>
    </xf>
    <xf numFmtId="0" fontId="9" fillId="0" borderId="1" xfId="4" applyFont="1" applyFill="1" applyBorder="1" applyAlignment="1">
      <alignment horizontal="center"/>
    </xf>
    <xf numFmtId="44" fontId="2" fillId="0" borderId="1" xfId="1" applyFont="1" applyFill="1" applyBorder="1" applyAlignment="1" applyProtection="1">
      <alignment horizontal="center" vertical="center"/>
      <protection hidden="1"/>
    </xf>
    <xf numFmtId="10" fontId="0" fillId="0" borderId="0" xfId="2" applyNumberFormat="1" applyFont="1" applyFill="1"/>
    <xf numFmtId="10" fontId="2" fillId="0" borderId="1" xfId="2" applyNumberFormat="1" applyFont="1" applyFill="1" applyBorder="1" applyAlignment="1" applyProtection="1">
      <alignment horizontal="center" vertical="center"/>
      <protection hidden="1"/>
    </xf>
    <xf numFmtId="44" fontId="0" fillId="0" borderId="0" xfId="0" applyNumberFormat="1" applyFont="1" applyFill="1"/>
    <xf numFmtId="0" fontId="3" fillId="0" borderId="1" xfId="0" applyFont="1" applyFill="1" applyBorder="1" applyAlignment="1" applyProtection="1">
      <alignment horizontal="center" vertical="center"/>
      <protection hidden="1"/>
    </xf>
    <xf numFmtId="2" fontId="3" fillId="0" borderId="1" xfId="0" applyNumberFormat="1" applyFont="1" applyFill="1" applyBorder="1" applyAlignment="1" applyProtection="1">
      <alignment horizontal="center" vertical="center"/>
      <protection hidden="1"/>
    </xf>
    <xf numFmtId="44" fontId="3" fillId="0" borderId="1" xfId="1" applyFont="1" applyFill="1" applyBorder="1" applyAlignment="1" applyProtection="1">
      <alignment horizontal="center" vertical="center"/>
      <protection hidden="1"/>
    </xf>
    <xf numFmtId="10" fontId="4" fillId="0" borderId="1" xfId="0" applyNumberFormat="1" applyFont="1" applyFill="1" applyBorder="1" applyAlignment="1">
      <alignment horizontal="center" vertical="center"/>
    </xf>
    <xf numFmtId="10" fontId="0" fillId="0" borderId="1" xfId="0" applyNumberFormat="1" applyFont="1" applyFill="1" applyBorder="1"/>
    <xf numFmtId="44" fontId="0" fillId="0" borderId="1" xfId="0" applyNumberFormat="1" applyFont="1" applyFill="1" applyBorder="1"/>
    <xf numFmtId="9" fontId="0" fillId="0" borderId="0" xfId="0" applyNumberFormat="1" applyFont="1" applyFill="1"/>
    <xf numFmtId="10" fontId="0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0" fillId="0" borderId="1" xfId="0" quotePrefix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 applyProtection="1">
      <alignment horizontal="left" vertical="center" wrapText="1"/>
      <protection hidden="1"/>
    </xf>
    <xf numFmtId="0" fontId="0" fillId="0" borderId="1" xfId="0" applyFont="1" applyFill="1" applyBorder="1" applyAlignment="1" applyProtection="1">
      <alignment horizontal="center" vertical="center" wrapText="1"/>
      <protection hidden="1"/>
    </xf>
    <xf numFmtId="2" fontId="0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hidden="1"/>
    </xf>
    <xf numFmtId="44" fontId="0" fillId="0" borderId="1" xfId="1" applyFont="1" applyFill="1" applyBorder="1" applyAlignment="1" applyProtection="1">
      <alignment horizontal="center" vertical="center"/>
      <protection hidden="1"/>
    </xf>
    <xf numFmtId="1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10" fontId="7" fillId="0" borderId="1" xfId="2" applyNumberFormat="1" applyFont="1" applyFill="1" applyBorder="1"/>
    <xf numFmtId="0" fontId="0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2" fillId="10" borderId="1" xfId="0" applyFont="1" applyFill="1" applyBorder="1" applyAlignment="1" applyProtection="1">
      <alignment horizontal="center" vertical="center"/>
      <protection hidden="1"/>
    </xf>
    <xf numFmtId="0" fontId="2" fillId="10" borderId="1" xfId="0" applyFont="1" applyFill="1" applyBorder="1" applyAlignment="1" applyProtection="1">
      <alignment horizontal="left" vertical="center"/>
      <protection hidden="1"/>
    </xf>
    <xf numFmtId="1" fontId="2" fillId="10" borderId="1" xfId="0" applyNumberFormat="1" applyFont="1" applyFill="1" applyBorder="1" applyAlignment="1" applyProtection="1">
      <alignment horizontal="center" vertical="center"/>
      <protection hidden="1"/>
    </xf>
    <xf numFmtId="44" fontId="2" fillId="10" borderId="1" xfId="1" applyFont="1" applyFill="1" applyBorder="1" applyAlignment="1" applyProtection="1">
      <alignment horizontal="center" vertical="center" wrapText="1"/>
      <protection hidden="1"/>
    </xf>
    <xf numFmtId="165" fontId="9" fillId="11" borderId="2" xfId="3" applyNumberFormat="1" applyFont="1" applyFill="1" applyBorder="1" applyAlignment="1">
      <alignment horizontal="center"/>
    </xf>
    <xf numFmtId="165" fontId="9" fillId="11" borderId="3" xfId="3" applyNumberFormat="1" applyFont="1" applyFill="1" applyBorder="1" applyAlignment="1">
      <alignment horizontal="center"/>
    </xf>
    <xf numFmtId="0" fontId="9" fillId="11" borderId="1" xfId="4" applyFont="1" applyFill="1" applyBorder="1" applyAlignment="1">
      <alignment horizontal="center"/>
    </xf>
  </cellXfs>
  <cellStyles count="5">
    <cellStyle name="Moeda" xfId="1" builtinId="4"/>
    <cellStyle name="Moeda 2" xfId="3"/>
    <cellStyle name="Normal" xfId="0" builtinId="0"/>
    <cellStyle name="Normal 2" xfId="4"/>
    <cellStyle name="Porcentagem" xfId="2" builtinId="5"/>
  </cellStyles>
  <dxfs count="72"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78"/>
  <sheetViews>
    <sheetView tabSelected="1" zoomScale="70" zoomScaleNormal="70" workbookViewId="0">
      <pane xSplit="4" ySplit="5" topLeftCell="N6" activePane="bottomRight" state="frozen"/>
      <selection pane="topRight" activeCell="E1" sqref="E1"/>
      <selection pane="bottomLeft" activeCell="A3" sqref="A3"/>
      <selection pane="bottomRight" activeCell="AC173" sqref="A1:AC173"/>
    </sheetView>
  </sheetViews>
  <sheetFormatPr defaultRowHeight="15" outlineLevelRow="1" x14ac:dyDescent="0.25"/>
  <cols>
    <col min="1" max="1" width="11.42578125" style="68" bestFit="1" customWidth="1"/>
    <col min="2" max="2" width="6.7109375" style="68" bestFit="1" customWidth="1"/>
    <col min="3" max="3" width="14.28515625" style="68" customWidth="1"/>
    <col min="4" max="4" width="75.28515625" style="68" customWidth="1"/>
    <col min="5" max="5" width="11.140625" style="68" hidden="1" customWidth="1"/>
    <col min="6" max="8" width="16" style="68" hidden="1" customWidth="1"/>
    <col min="9" max="9" width="13.42578125" style="68" hidden="1" customWidth="1"/>
    <col min="10" max="10" width="15.7109375" style="68" hidden="1" customWidth="1"/>
    <col min="11" max="11" width="0" style="68" hidden="1" customWidth="1"/>
    <col min="12" max="12" width="13.5703125" style="68" hidden="1" customWidth="1"/>
    <col min="13" max="13" width="13.85546875" style="68" hidden="1" customWidth="1"/>
    <col min="14" max="14" width="15.85546875" style="68" customWidth="1"/>
    <col min="15" max="15" width="2.7109375" style="68" customWidth="1"/>
    <col min="16" max="16" width="7.140625" style="68" hidden="1" customWidth="1"/>
    <col min="17" max="17" width="20" style="68" hidden="1" customWidth="1"/>
    <col min="18" max="18" width="2.7109375" style="68" hidden="1" customWidth="1"/>
    <col min="19" max="19" width="12.28515625" style="68" customWidth="1"/>
    <col min="20" max="20" width="9.140625" style="68"/>
    <col min="21" max="21" width="13.85546875" style="68" bestFit="1" customWidth="1"/>
    <col min="22" max="22" width="9.140625" style="68"/>
    <col min="23" max="23" width="13.85546875" style="68" bestFit="1" customWidth="1"/>
    <col min="24" max="24" width="9.140625" style="68"/>
    <col min="25" max="25" width="11.7109375" style="68" bestFit="1" customWidth="1"/>
    <col min="26" max="26" width="9.140625" style="68"/>
    <col min="27" max="27" width="13.85546875" style="68" bestFit="1" customWidth="1"/>
    <col min="28" max="28" width="9.140625" style="68"/>
    <col min="29" max="29" width="13.85546875" style="68" bestFit="1" customWidth="1"/>
    <col min="30" max="30" width="3.42578125" style="68" customWidth="1"/>
    <col min="31" max="31" width="9.140625" style="68"/>
    <col min="32" max="32" width="13.85546875" style="68" bestFit="1" customWidth="1"/>
    <col min="33" max="33" width="11.7109375" style="68" bestFit="1" customWidth="1"/>
    <col min="34" max="16384" width="9.140625" style="68"/>
  </cols>
  <sheetData>
    <row r="1" spans="1:33" x14ac:dyDescent="0.25">
      <c r="A1" s="67" t="s">
        <v>444</v>
      </c>
    </row>
    <row r="3" spans="1:33" x14ac:dyDescent="0.25">
      <c r="A3" s="67" t="s">
        <v>235</v>
      </c>
    </row>
    <row r="4" spans="1:33" x14ac:dyDescent="0.25">
      <c r="T4" s="110" t="s">
        <v>416</v>
      </c>
      <c r="U4" s="111"/>
      <c r="V4" s="38" t="s">
        <v>417</v>
      </c>
      <c r="W4" s="39"/>
      <c r="X4" s="110" t="s">
        <v>418</v>
      </c>
      <c r="Y4" s="111"/>
      <c r="Z4" s="38" t="s">
        <v>419</v>
      </c>
      <c r="AA4" s="39"/>
      <c r="AB4" s="110" t="s">
        <v>443</v>
      </c>
      <c r="AC4" s="111"/>
      <c r="AE4" s="70" t="s">
        <v>420</v>
      </c>
      <c r="AF4" s="69"/>
    </row>
    <row r="5" spans="1:33" ht="75" x14ac:dyDescent="0.25">
      <c r="A5" s="106" t="s">
        <v>0</v>
      </c>
      <c r="B5" s="106"/>
      <c r="C5" s="106"/>
      <c r="D5" s="107"/>
      <c r="E5" s="106" t="s">
        <v>4</v>
      </c>
      <c r="F5" s="108" t="s">
        <v>5</v>
      </c>
      <c r="G5" s="109" t="s">
        <v>248</v>
      </c>
      <c r="H5" s="109" t="s">
        <v>225</v>
      </c>
      <c r="I5" s="109" t="s">
        <v>227</v>
      </c>
      <c r="J5" s="109" t="s">
        <v>224</v>
      </c>
      <c r="K5" s="109" t="s">
        <v>226</v>
      </c>
      <c r="L5" s="109" t="s">
        <v>228</v>
      </c>
      <c r="M5" s="109" t="s">
        <v>229</v>
      </c>
      <c r="N5" s="109" t="s">
        <v>230</v>
      </c>
      <c r="Q5" s="73" t="s">
        <v>427</v>
      </c>
      <c r="T5" s="112" t="s">
        <v>414</v>
      </c>
      <c r="U5" s="112" t="s">
        <v>415</v>
      </c>
      <c r="V5" s="37" t="s">
        <v>414</v>
      </c>
      <c r="W5" s="37" t="s">
        <v>415</v>
      </c>
      <c r="X5" s="112" t="s">
        <v>414</v>
      </c>
      <c r="Y5" s="112" t="s">
        <v>415</v>
      </c>
      <c r="Z5" s="37" t="s">
        <v>414</v>
      </c>
      <c r="AA5" s="37" t="s">
        <v>415</v>
      </c>
      <c r="AB5" s="112" t="s">
        <v>414</v>
      </c>
      <c r="AC5" s="112" t="s">
        <v>415</v>
      </c>
      <c r="AE5" s="74" t="s">
        <v>414</v>
      </c>
      <c r="AF5" s="74" t="s">
        <v>415</v>
      </c>
    </row>
    <row r="7" spans="1:33" x14ac:dyDescent="0.25">
      <c r="A7" s="5" t="s">
        <v>35</v>
      </c>
      <c r="B7" s="6"/>
      <c r="C7" s="6"/>
      <c r="D7" s="5"/>
      <c r="E7" s="6"/>
      <c r="F7" s="7"/>
      <c r="G7" s="7"/>
      <c r="H7" s="7"/>
      <c r="I7" s="8"/>
      <c r="J7" s="8"/>
      <c r="K7" s="8"/>
      <c r="L7" s="8"/>
      <c r="M7" s="8"/>
      <c r="N7" s="8">
        <f>SUM(N8:N25)</f>
        <v>207729.37</v>
      </c>
      <c r="P7" s="76">
        <f>N7/$N$170</f>
        <v>0.60603901785146674</v>
      </c>
      <c r="Q7" s="76"/>
      <c r="T7" s="58">
        <f>U7/$N$170</f>
        <v>7.2321069960127569E-3</v>
      </c>
      <c r="U7" s="8">
        <f>SUM(U8:U25)</f>
        <v>2478.9180000000001</v>
      </c>
      <c r="V7" s="77">
        <f>W7/$N$170</f>
        <v>0</v>
      </c>
      <c r="W7" s="75">
        <f>SUM(W8:W25)</f>
        <v>0</v>
      </c>
      <c r="X7" s="58">
        <f>Y7/$N$170</f>
        <v>3.1939429640080348E-3</v>
      </c>
      <c r="Y7" s="8">
        <f>SUM(Y8:Y25)</f>
        <v>1094.7740000000001</v>
      </c>
      <c r="Z7" s="58">
        <f>AA7/$N$170</f>
        <v>0.29192598692862093</v>
      </c>
      <c r="AA7" s="8">
        <f>SUM(AA8:AA25)</f>
        <v>100062.2065</v>
      </c>
      <c r="AB7" s="58">
        <f>AC7/$N$170</f>
        <v>0.30368698096282509</v>
      </c>
      <c r="AC7" s="8">
        <f>SUM(AC8:AC25)</f>
        <v>104093.4715</v>
      </c>
      <c r="AE7" s="71"/>
      <c r="AF7" s="78">
        <f t="shared" ref="AF7:AF23" si="0">SUM(U7,Y7,AA7,AC7)</f>
        <v>207729.37</v>
      </c>
      <c r="AG7" s="68" t="str">
        <f t="shared" ref="AG7:AG23" si="1">IF(AF7=N7,"OK","VERIFICAR")</f>
        <v>OK</v>
      </c>
    </row>
    <row r="8" spans="1:33" ht="60" outlineLevel="1" x14ac:dyDescent="0.25">
      <c r="A8" s="9" t="s">
        <v>6</v>
      </c>
      <c r="B8" s="9" t="s">
        <v>7</v>
      </c>
      <c r="C8" s="9" t="s">
        <v>8</v>
      </c>
      <c r="D8" s="10" t="s">
        <v>234</v>
      </c>
      <c r="E8" s="79" t="s">
        <v>9</v>
      </c>
      <c r="F8" s="80">
        <v>2</v>
      </c>
      <c r="G8" s="81">
        <f>AVERAGE(19798.26,16019.38,17537,21128.58,21018.15,18495.97)</f>
        <v>18999.556666666667</v>
      </c>
      <c r="H8" s="81">
        <v>0</v>
      </c>
      <c r="I8" s="81">
        <f>G8+H8</f>
        <v>18999.556666666667</v>
      </c>
      <c r="J8" s="81">
        <f t="shared" ref="J8:J25" si="2">TRUNC(I8*F8,2)</f>
        <v>37999.11</v>
      </c>
      <c r="K8" s="82">
        <v>0.1515</v>
      </c>
      <c r="L8" s="81">
        <f>TRUNC($F8*G8*(1+$K8),2)</f>
        <v>43755.97</v>
      </c>
      <c r="M8" s="81">
        <f>TRUNC($F8*H8*(1+$K8),2)</f>
        <v>0</v>
      </c>
      <c r="N8" s="81">
        <f>M8+L8</f>
        <v>43755.97</v>
      </c>
      <c r="P8" s="76"/>
      <c r="Z8" s="83">
        <v>0.5</v>
      </c>
      <c r="AA8" s="84">
        <f>Z8*$N8</f>
        <v>21877.985000000001</v>
      </c>
      <c r="AB8" s="83">
        <v>0.5</v>
      </c>
      <c r="AC8" s="84">
        <f>AB8*$N8</f>
        <v>21877.985000000001</v>
      </c>
      <c r="AE8" s="85">
        <f t="shared" ref="AE8:AE25" si="3">SUM(T8,X8,Z8,AB8)</f>
        <v>1</v>
      </c>
      <c r="AF8" s="78">
        <f t="shared" si="0"/>
        <v>43755.97</v>
      </c>
      <c r="AG8" s="68" t="str">
        <f t="shared" si="1"/>
        <v>OK</v>
      </c>
    </row>
    <row r="9" spans="1:33" ht="60" outlineLevel="1" x14ac:dyDescent="0.25">
      <c r="A9" s="9" t="s">
        <v>6</v>
      </c>
      <c r="B9" s="9" t="s">
        <v>10</v>
      </c>
      <c r="C9" s="9" t="s">
        <v>8</v>
      </c>
      <c r="D9" s="10" t="s">
        <v>442</v>
      </c>
      <c r="E9" s="79" t="s">
        <v>9</v>
      </c>
      <c r="F9" s="80">
        <v>139</v>
      </c>
      <c r="G9" s="81">
        <f>AVERAGE(789.57,820.71,677.97,729,(449.9*1.06))</f>
        <v>698.8288</v>
      </c>
      <c r="H9" s="81">
        <v>0</v>
      </c>
      <c r="I9" s="81">
        <f>G9+H9</f>
        <v>698.8288</v>
      </c>
      <c r="J9" s="81">
        <f t="shared" si="2"/>
        <v>97137.2</v>
      </c>
      <c r="K9" s="82">
        <v>0.1515</v>
      </c>
      <c r="L9" s="81">
        <f>TRUNC($F9*G9*(1+$K9),2)</f>
        <v>111853.48</v>
      </c>
      <c r="M9" s="81">
        <f>TRUNC($F9*H9*(1+$K9),2)</f>
        <v>0</v>
      </c>
      <c r="N9" s="81">
        <f>M9+L9</f>
        <v>111853.48</v>
      </c>
      <c r="P9" s="76"/>
      <c r="Q9" s="76"/>
      <c r="Z9" s="83">
        <v>0.5</v>
      </c>
      <c r="AA9" s="84">
        <f t="shared" ref="AA9:AA22" si="4">Z9*$N9</f>
        <v>55926.74</v>
      </c>
      <c r="AB9" s="83">
        <v>0.5</v>
      </c>
      <c r="AC9" s="84">
        <f t="shared" ref="AC9:AC22" si="5">AB9*$N9</f>
        <v>55926.74</v>
      </c>
      <c r="AE9" s="85">
        <f t="shared" si="3"/>
        <v>1</v>
      </c>
      <c r="AF9" s="78">
        <f t="shared" si="0"/>
        <v>111853.48</v>
      </c>
      <c r="AG9" s="68" t="str">
        <f t="shared" si="1"/>
        <v>OK</v>
      </c>
    </row>
    <row r="10" spans="1:33" ht="30" outlineLevel="1" x14ac:dyDescent="0.25">
      <c r="A10" s="9" t="s">
        <v>6</v>
      </c>
      <c r="B10" s="9" t="s">
        <v>11</v>
      </c>
      <c r="C10" s="9" t="s">
        <v>8</v>
      </c>
      <c r="D10" s="10" t="s">
        <v>12</v>
      </c>
      <c r="E10" s="79" t="s">
        <v>9</v>
      </c>
      <c r="F10" s="80">
        <v>9</v>
      </c>
      <c r="G10" s="81">
        <f>AVERAGE(20/2,19.02/2)</f>
        <v>9.754999999999999</v>
      </c>
      <c r="H10" s="81">
        <v>0</v>
      </c>
      <c r="I10" s="81">
        <f t="shared" ref="I10:I25" si="6">G10+H10</f>
        <v>9.754999999999999</v>
      </c>
      <c r="J10" s="81">
        <f t="shared" si="2"/>
        <v>87.79</v>
      </c>
      <c r="K10" s="86">
        <v>0.27760000000000001</v>
      </c>
      <c r="L10" s="81">
        <f t="shared" ref="L10:M25" si="7">TRUNC($F10*G10*(1+$K10),2)</f>
        <v>112.16</v>
      </c>
      <c r="M10" s="81">
        <f t="shared" si="7"/>
        <v>0</v>
      </c>
      <c r="N10" s="81">
        <f t="shared" ref="N10:N25" si="8">M10+L10</f>
        <v>112.16</v>
      </c>
      <c r="Q10" s="76"/>
      <c r="Z10" s="83">
        <v>0.5</v>
      </c>
      <c r="AA10" s="84">
        <f t="shared" si="4"/>
        <v>56.08</v>
      </c>
      <c r="AB10" s="83">
        <v>0.5</v>
      </c>
      <c r="AC10" s="84">
        <f t="shared" si="5"/>
        <v>56.08</v>
      </c>
      <c r="AE10" s="85">
        <f t="shared" si="3"/>
        <v>1</v>
      </c>
      <c r="AF10" s="78">
        <f t="shared" si="0"/>
        <v>112.16</v>
      </c>
      <c r="AG10" s="68" t="str">
        <f t="shared" si="1"/>
        <v>OK</v>
      </c>
    </row>
    <row r="11" spans="1:33" ht="30" outlineLevel="1" x14ac:dyDescent="0.25">
      <c r="A11" s="9" t="s">
        <v>6</v>
      </c>
      <c r="B11" s="9" t="s">
        <v>13</v>
      </c>
      <c r="C11" s="9" t="s">
        <v>8</v>
      </c>
      <c r="D11" s="10" t="s">
        <v>14</v>
      </c>
      <c r="E11" s="79" t="s">
        <v>9</v>
      </c>
      <c r="F11" s="80">
        <v>9</v>
      </c>
      <c r="G11" s="81">
        <f>AVERAGE(20/2,19.02/2)</f>
        <v>9.754999999999999</v>
      </c>
      <c r="H11" s="81">
        <v>0</v>
      </c>
      <c r="I11" s="81">
        <f t="shared" si="6"/>
        <v>9.754999999999999</v>
      </c>
      <c r="J11" s="81">
        <f t="shared" si="2"/>
        <v>87.79</v>
      </c>
      <c r="K11" s="86">
        <v>0.27760000000000001</v>
      </c>
      <c r="L11" s="81">
        <f t="shared" si="7"/>
        <v>112.16</v>
      </c>
      <c r="M11" s="81">
        <f t="shared" si="7"/>
        <v>0</v>
      </c>
      <c r="N11" s="81">
        <f t="shared" si="8"/>
        <v>112.16</v>
      </c>
      <c r="Z11" s="83">
        <v>0.5</v>
      </c>
      <c r="AA11" s="84">
        <f t="shared" si="4"/>
        <v>56.08</v>
      </c>
      <c r="AB11" s="83">
        <v>0.5</v>
      </c>
      <c r="AC11" s="84">
        <f t="shared" si="5"/>
        <v>56.08</v>
      </c>
      <c r="AE11" s="85">
        <f t="shared" si="3"/>
        <v>1</v>
      </c>
      <c r="AF11" s="78">
        <f t="shared" si="0"/>
        <v>112.16</v>
      </c>
      <c r="AG11" s="68" t="str">
        <f t="shared" si="1"/>
        <v>OK</v>
      </c>
    </row>
    <row r="12" spans="1:33" ht="45" outlineLevel="1" x14ac:dyDescent="0.25">
      <c r="A12" s="9" t="s">
        <v>6</v>
      </c>
      <c r="B12" s="9" t="s">
        <v>15</v>
      </c>
      <c r="C12" s="9" t="s">
        <v>8</v>
      </c>
      <c r="D12" s="10" t="s">
        <v>16</v>
      </c>
      <c r="E12" s="79" t="s">
        <v>17</v>
      </c>
      <c r="F12" s="87">
        <v>200</v>
      </c>
      <c r="G12" s="81">
        <f>AVERAGE(590,560.5)/100</f>
        <v>5.7525000000000004</v>
      </c>
      <c r="H12" s="81">
        <v>0</v>
      </c>
      <c r="I12" s="81">
        <f t="shared" si="6"/>
        <v>5.7525000000000004</v>
      </c>
      <c r="J12" s="81">
        <f t="shared" si="2"/>
        <v>1150.5</v>
      </c>
      <c r="K12" s="86">
        <v>0.27760000000000001</v>
      </c>
      <c r="L12" s="81">
        <f t="shared" si="7"/>
        <v>1469.87</v>
      </c>
      <c r="M12" s="81">
        <f t="shared" si="7"/>
        <v>0</v>
      </c>
      <c r="N12" s="81">
        <f t="shared" si="8"/>
        <v>1469.87</v>
      </c>
      <c r="Z12" s="83">
        <v>0.5</v>
      </c>
      <c r="AA12" s="84">
        <f t="shared" si="4"/>
        <v>734.93499999999995</v>
      </c>
      <c r="AB12" s="83">
        <v>0.5</v>
      </c>
      <c r="AC12" s="84">
        <f t="shared" si="5"/>
        <v>734.93499999999995</v>
      </c>
      <c r="AE12" s="85">
        <f t="shared" si="3"/>
        <v>1</v>
      </c>
      <c r="AF12" s="78">
        <f t="shared" si="0"/>
        <v>1469.87</v>
      </c>
      <c r="AG12" s="68" t="str">
        <f t="shared" si="1"/>
        <v>OK</v>
      </c>
    </row>
    <row r="13" spans="1:33" ht="45" outlineLevel="1" x14ac:dyDescent="0.25">
      <c r="A13" s="9" t="s">
        <v>6</v>
      </c>
      <c r="B13" s="9" t="s">
        <v>18</v>
      </c>
      <c r="C13" s="9" t="s">
        <v>8</v>
      </c>
      <c r="D13" s="10" t="s">
        <v>19</v>
      </c>
      <c r="E13" s="79" t="s">
        <v>17</v>
      </c>
      <c r="F13" s="87">
        <v>200</v>
      </c>
      <c r="G13" s="81">
        <f>AVERAGE(590,560.5)/100</f>
        <v>5.7525000000000004</v>
      </c>
      <c r="H13" s="81">
        <v>0</v>
      </c>
      <c r="I13" s="81">
        <f t="shared" si="6"/>
        <v>5.7525000000000004</v>
      </c>
      <c r="J13" s="81">
        <f t="shared" si="2"/>
        <v>1150.5</v>
      </c>
      <c r="K13" s="86">
        <v>0.27760000000000001</v>
      </c>
      <c r="L13" s="81">
        <f t="shared" si="7"/>
        <v>1469.87</v>
      </c>
      <c r="M13" s="81">
        <f t="shared" si="7"/>
        <v>0</v>
      </c>
      <c r="N13" s="81">
        <f t="shared" si="8"/>
        <v>1469.87</v>
      </c>
      <c r="Z13" s="83">
        <v>0.5</v>
      </c>
      <c r="AA13" s="84">
        <f t="shared" si="4"/>
        <v>734.93499999999995</v>
      </c>
      <c r="AB13" s="83">
        <v>0.5</v>
      </c>
      <c r="AC13" s="84">
        <f t="shared" si="5"/>
        <v>734.93499999999995</v>
      </c>
      <c r="AE13" s="85">
        <f t="shared" si="3"/>
        <v>1</v>
      </c>
      <c r="AF13" s="78">
        <f t="shared" si="0"/>
        <v>1469.87</v>
      </c>
      <c r="AG13" s="68" t="str">
        <f t="shared" si="1"/>
        <v>OK</v>
      </c>
    </row>
    <row r="14" spans="1:33" ht="75" outlineLevel="1" x14ac:dyDescent="0.25">
      <c r="A14" s="9" t="s">
        <v>6</v>
      </c>
      <c r="B14" s="9" t="s">
        <v>179</v>
      </c>
      <c r="C14" s="9" t="s">
        <v>8</v>
      </c>
      <c r="D14" s="10" t="s">
        <v>21</v>
      </c>
      <c r="E14" s="79" t="s">
        <v>9</v>
      </c>
      <c r="F14" s="80">
        <v>75</v>
      </c>
      <c r="G14" s="81">
        <f>AVERAGE(680/2,640.68/2,721.29/2,518/2)</f>
        <v>319.99624999999997</v>
      </c>
      <c r="H14" s="81">
        <v>0</v>
      </c>
      <c r="I14" s="81">
        <f t="shared" si="6"/>
        <v>319.99624999999997</v>
      </c>
      <c r="J14" s="81">
        <f t="shared" si="2"/>
        <v>23999.71</v>
      </c>
      <c r="K14" s="86">
        <v>0.27760000000000001</v>
      </c>
      <c r="L14" s="81">
        <f t="shared" si="7"/>
        <v>30662.04</v>
      </c>
      <c r="M14" s="81">
        <f t="shared" si="7"/>
        <v>0</v>
      </c>
      <c r="N14" s="81">
        <f t="shared" si="8"/>
        <v>30662.04</v>
      </c>
      <c r="Z14" s="83">
        <v>0.5</v>
      </c>
      <c r="AA14" s="84">
        <f t="shared" si="4"/>
        <v>15331.02</v>
      </c>
      <c r="AB14" s="83">
        <v>0.5</v>
      </c>
      <c r="AC14" s="84">
        <f t="shared" si="5"/>
        <v>15331.02</v>
      </c>
      <c r="AE14" s="85">
        <f t="shared" si="3"/>
        <v>1</v>
      </c>
      <c r="AF14" s="78">
        <f t="shared" si="0"/>
        <v>30662.04</v>
      </c>
      <c r="AG14" s="68" t="str">
        <f t="shared" si="1"/>
        <v>OK</v>
      </c>
    </row>
    <row r="15" spans="1:33" ht="30" outlineLevel="1" x14ac:dyDescent="0.25">
      <c r="A15" s="9" t="s">
        <v>6</v>
      </c>
      <c r="B15" s="9" t="s">
        <v>20</v>
      </c>
      <c r="C15" s="9" t="s">
        <v>8</v>
      </c>
      <c r="D15" s="10" t="s">
        <v>23</v>
      </c>
      <c r="E15" s="79" t="s">
        <v>9</v>
      </c>
      <c r="F15" s="80">
        <v>120</v>
      </c>
      <c r="G15" s="81">
        <v>19.899999999999999</v>
      </c>
      <c r="H15" s="81">
        <v>0</v>
      </c>
      <c r="I15" s="81">
        <f t="shared" si="6"/>
        <v>19.899999999999999</v>
      </c>
      <c r="J15" s="81">
        <f t="shared" si="2"/>
        <v>2388</v>
      </c>
      <c r="K15" s="86">
        <v>0.27760000000000001</v>
      </c>
      <c r="L15" s="81">
        <f t="shared" si="7"/>
        <v>3050.9</v>
      </c>
      <c r="M15" s="81">
        <f t="shared" si="7"/>
        <v>0</v>
      </c>
      <c r="N15" s="81">
        <f t="shared" si="8"/>
        <v>3050.9</v>
      </c>
      <c r="Z15" s="83">
        <v>0.5</v>
      </c>
      <c r="AA15" s="84">
        <f t="shared" si="4"/>
        <v>1525.45</v>
      </c>
      <c r="AB15" s="83">
        <v>0.5</v>
      </c>
      <c r="AC15" s="84">
        <f t="shared" si="5"/>
        <v>1525.45</v>
      </c>
      <c r="AE15" s="85">
        <f t="shared" si="3"/>
        <v>1</v>
      </c>
      <c r="AF15" s="78">
        <f t="shared" si="0"/>
        <v>3050.9</v>
      </c>
      <c r="AG15" s="68" t="str">
        <f t="shared" si="1"/>
        <v>OK</v>
      </c>
    </row>
    <row r="16" spans="1:33" ht="30" outlineLevel="1" x14ac:dyDescent="0.25">
      <c r="A16" s="9" t="s">
        <v>24</v>
      </c>
      <c r="B16" s="9" t="s">
        <v>25</v>
      </c>
      <c r="C16" s="9" t="s">
        <v>241</v>
      </c>
      <c r="D16" s="10" t="s">
        <v>26</v>
      </c>
      <c r="E16" s="79" t="s">
        <v>17</v>
      </c>
      <c r="F16" s="87">
        <v>50</v>
      </c>
      <c r="G16" s="81">
        <v>4.3499999999999996</v>
      </c>
      <c r="H16" s="81">
        <v>1.1000000000000001</v>
      </c>
      <c r="I16" s="81">
        <f t="shared" si="6"/>
        <v>5.4499999999999993</v>
      </c>
      <c r="J16" s="81">
        <f t="shared" si="2"/>
        <v>272.5</v>
      </c>
      <c r="K16" s="86">
        <v>0.27760000000000001</v>
      </c>
      <c r="L16" s="81">
        <f t="shared" si="7"/>
        <v>277.87</v>
      </c>
      <c r="M16" s="81">
        <f t="shared" si="7"/>
        <v>70.260000000000005</v>
      </c>
      <c r="N16" s="81">
        <f t="shared" si="8"/>
        <v>348.13</v>
      </c>
      <c r="Z16" s="83">
        <v>0.5</v>
      </c>
      <c r="AA16" s="84">
        <f t="shared" si="4"/>
        <v>174.065</v>
      </c>
      <c r="AB16" s="83">
        <v>0.5</v>
      </c>
      <c r="AC16" s="84">
        <f t="shared" si="5"/>
        <v>174.065</v>
      </c>
      <c r="AE16" s="85">
        <f t="shared" si="3"/>
        <v>1</v>
      </c>
      <c r="AF16" s="78">
        <f t="shared" si="0"/>
        <v>348.13</v>
      </c>
      <c r="AG16" s="68" t="str">
        <f t="shared" si="1"/>
        <v>OK</v>
      </c>
    </row>
    <row r="17" spans="1:33" ht="30" outlineLevel="1" x14ac:dyDescent="0.25">
      <c r="A17" s="9" t="s">
        <v>24</v>
      </c>
      <c r="B17" s="9" t="s">
        <v>22</v>
      </c>
      <c r="C17" s="9" t="s">
        <v>242</v>
      </c>
      <c r="D17" s="10" t="s">
        <v>27</v>
      </c>
      <c r="E17" s="79" t="s">
        <v>28</v>
      </c>
      <c r="F17" s="87">
        <v>300</v>
      </c>
      <c r="G17" s="81">
        <v>0.96</v>
      </c>
      <c r="H17" s="81">
        <v>0</v>
      </c>
      <c r="I17" s="81">
        <f t="shared" si="6"/>
        <v>0.96</v>
      </c>
      <c r="J17" s="81">
        <f t="shared" si="2"/>
        <v>288</v>
      </c>
      <c r="K17" s="86">
        <v>0.27760000000000001</v>
      </c>
      <c r="L17" s="81">
        <f t="shared" si="7"/>
        <v>367.94</v>
      </c>
      <c r="M17" s="81">
        <f t="shared" si="7"/>
        <v>0</v>
      </c>
      <c r="N17" s="81">
        <f t="shared" si="8"/>
        <v>367.94</v>
      </c>
      <c r="Z17" s="83">
        <v>0.5</v>
      </c>
      <c r="AA17" s="84">
        <f t="shared" si="4"/>
        <v>183.97</v>
      </c>
      <c r="AB17" s="83">
        <v>0.5</v>
      </c>
      <c r="AC17" s="84">
        <f t="shared" si="5"/>
        <v>183.97</v>
      </c>
      <c r="AE17" s="85">
        <f t="shared" si="3"/>
        <v>1</v>
      </c>
      <c r="AF17" s="78">
        <f t="shared" si="0"/>
        <v>367.94</v>
      </c>
      <c r="AG17" s="68" t="str">
        <f t="shared" si="1"/>
        <v>OK</v>
      </c>
    </row>
    <row r="18" spans="1:33" outlineLevel="1" x14ac:dyDescent="0.25">
      <c r="A18" s="88" t="s">
        <v>6</v>
      </c>
      <c r="B18" s="9" t="s">
        <v>29</v>
      </c>
      <c r="C18" s="88" t="s">
        <v>8</v>
      </c>
      <c r="D18" s="89" t="s">
        <v>328</v>
      </c>
      <c r="E18" s="90" t="s">
        <v>9</v>
      </c>
      <c r="F18" s="91">
        <v>2</v>
      </c>
      <c r="G18" s="81">
        <f>AVERAGE(84.9,79.9,78,90)</f>
        <v>83.2</v>
      </c>
      <c r="H18" s="81">
        <v>0</v>
      </c>
      <c r="I18" s="81">
        <f t="shared" si="6"/>
        <v>83.2</v>
      </c>
      <c r="J18" s="81">
        <f t="shared" si="2"/>
        <v>166.4</v>
      </c>
      <c r="K18" s="86">
        <v>0.27760000000000001</v>
      </c>
      <c r="L18" s="81">
        <f t="shared" si="7"/>
        <v>212.59</v>
      </c>
      <c r="M18" s="81">
        <f t="shared" si="7"/>
        <v>0</v>
      </c>
      <c r="N18" s="81">
        <f t="shared" si="8"/>
        <v>212.59</v>
      </c>
      <c r="Z18" s="83">
        <v>0.5</v>
      </c>
      <c r="AA18" s="84">
        <f t="shared" si="4"/>
        <v>106.295</v>
      </c>
      <c r="AB18" s="83">
        <v>0.5</v>
      </c>
      <c r="AC18" s="84">
        <f t="shared" si="5"/>
        <v>106.295</v>
      </c>
      <c r="AE18" s="85">
        <f t="shared" si="3"/>
        <v>1</v>
      </c>
      <c r="AF18" s="78">
        <f t="shared" si="0"/>
        <v>212.59</v>
      </c>
      <c r="AG18" s="68" t="str">
        <f t="shared" si="1"/>
        <v>OK</v>
      </c>
    </row>
    <row r="19" spans="1:33" outlineLevel="1" x14ac:dyDescent="0.25">
      <c r="A19" s="9" t="s">
        <v>24</v>
      </c>
      <c r="B19" s="9" t="s">
        <v>30</v>
      </c>
      <c r="C19" s="9" t="s">
        <v>243</v>
      </c>
      <c r="D19" s="10" t="s">
        <v>31</v>
      </c>
      <c r="E19" s="79" t="s">
        <v>9</v>
      </c>
      <c r="F19" s="87">
        <v>6</v>
      </c>
      <c r="G19" s="81">
        <v>12.25</v>
      </c>
      <c r="H19" s="81">
        <v>0</v>
      </c>
      <c r="I19" s="81">
        <f t="shared" si="6"/>
        <v>12.25</v>
      </c>
      <c r="J19" s="81">
        <f t="shared" si="2"/>
        <v>73.5</v>
      </c>
      <c r="K19" s="86">
        <v>0.27760000000000001</v>
      </c>
      <c r="L19" s="81">
        <f t="shared" si="7"/>
        <v>93.9</v>
      </c>
      <c r="M19" s="81">
        <f t="shared" si="7"/>
        <v>0</v>
      </c>
      <c r="N19" s="81">
        <f t="shared" si="8"/>
        <v>93.9</v>
      </c>
      <c r="Z19" s="83">
        <v>0.5</v>
      </c>
      <c r="AA19" s="84">
        <f t="shared" si="4"/>
        <v>46.95</v>
      </c>
      <c r="AB19" s="83">
        <v>0.5</v>
      </c>
      <c r="AC19" s="84">
        <f t="shared" si="5"/>
        <v>46.95</v>
      </c>
      <c r="AE19" s="85">
        <f t="shared" si="3"/>
        <v>1</v>
      </c>
      <c r="AF19" s="78">
        <f t="shared" si="0"/>
        <v>93.9</v>
      </c>
      <c r="AG19" s="68" t="str">
        <f t="shared" si="1"/>
        <v>OK</v>
      </c>
    </row>
    <row r="20" spans="1:33" ht="30" outlineLevel="1" x14ac:dyDescent="0.25">
      <c r="A20" s="9" t="s">
        <v>24</v>
      </c>
      <c r="B20" s="9" t="s">
        <v>32</v>
      </c>
      <c r="C20" s="9" t="s">
        <v>244</v>
      </c>
      <c r="D20" s="10" t="s">
        <v>33</v>
      </c>
      <c r="E20" s="79" t="s">
        <v>34</v>
      </c>
      <c r="F20" s="87">
        <v>2</v>
      </c>
      <c r="G20" s="81">
        <v>29.43</v>
      </c>
      <c r="H20" s="81">
        <v>0</v>
      </c>
      <c r="I20" s="81">
        <f t="shared" si="6"/>
        <v>29.43</v>
      </c>
      <c r="J20" s="81">
        <f t="shared" si="2"/>
        <v>58.86</v>
      </c>
      <c r="K20" s="86">
        <v>0.27760000000000001</v>
      </c>
      <c r="L20" s="81">
        <f t="shared" si="7"/>
        <v>75.19</v>
      </c>
      <c r="M20" s="81">
        <f t="shared" si="7"/>
        <v>0</v>
      </c>
      <c r="N20" s="81">
        <f t="shared" si="8"/>
        <v>75.19</v>
      </c>
      <c r="Z20" s="83">
        <v>0.5</v>
      </c>
      <c r="AA20" s="84">
        <f t="shared" si="4"/>
        <v>37.594999999999999</v>
      </c>
      <c r="AB20" s="83">
        <v>0.5</v>
      </c>
      <c r="AC20" s="84">
        <f t="shared" si="5"/>
        <v>37.594999999999999</v>
      </c>
      <c r="AE20" s="85">
        <f t="shared" si="3"/>
        <v>1</v>
      </c>
      <c r="AF20" s="78">
        <f t="shared" si="0"/>
        <v>75.19</v>
      </c>
      <c r="AG20" s="68" t="str">
        <f t="shared" si="1"/>
        <v>OK</v>
      </c>
    </row>
    <row r="21" spans="1:33" outlineLevel="1" x14ac:dyDescent="0.25">
      <c r="A21" s="9" t="s">
        <v>24</v>
      </c>
      <c r="B21" s="9" t="s">
        <v>232</v>
      </c>
      <c r="C21" s="9" t="s">
        <v>258</v>
      </c>
      <c r="D21" s="10" t="s">
        <v>329</v>
      </c>
      <c r="E21" s="9" t="s">
        <v>69</v>
      </c>
      <c r="F21" s="87">
        <v>110</v>
      </c>
      <c r="G21" s="81">
        <v>4.5599999999999996</v>
      </c>
      <c r="H21" s="81">
        <v>20.29</v>
      </c>
      <c r="I21" s="81">
        <f t="shared" si="6"/>
        <v>24.849999999999998</v>
      </c>
      <c r="J21" s="81">
        <f t="shared" si="2"/>
        <v>2733.5</v>
      </c>
      <c r="K21" s="86">
        <v>0.27760000000000001</v>
      </c>
      <c r="L21" s="81">
        <f t="shared" si="7"/>
        <v>640.84</v>
      </c>
      <c r="M21" s="81">
        <f t="shared" si="7"/>
        <v>2851.47</v>
      </c>
      <c r="N21" s="81">
        <f t="shared" si="8"/>
        <v>3492.31</v>
      </c>
      <c r="Z21" s="83">
        <v>0.25</v>
      </c>
      <c r="AA21" s="84">
        <f t="shared" si="4"/>
        <v>873.07749999999999</v>
      </c>
      <c r="AB21" s="83">
        <v>0.75</v>
      </c>
      <c r="AC21" s="84">
        <f t="shared" si="5"/>
        <v>2619.2325000000001</v>
      </c>
      <c r="AE21" s="85">
        <f t="shared" si="3"/>
        <v>1</v>
      </c>
      <c r="AF21" s="78">
        <f t="shared" si="0"/>
        <v>3492.31</v>
      </c>
      <c r="AG21" s="68" t="str">
        <f t="shared" si="1"/>
        <v>OK</v>
      </c>
    </row>
    <row r="22" spans="1:33" outlineLevel="1" x14ac:dyDescent="0.25">
      <c r="A22" s="9" t="s">
        <v>24</v>
      </c>
      <c r="B22" s="9" t="s">
        <v>233</v>
      </c>
      <c r="C22" s="9" t="s">
        <v>260</v>
      </c>
      <c r="D22" s="10" t="s">
        <v>330</v>
      </c>
      <c r="E22" s="9" t="s">
        <v>69</v>
      </c>
      <c r="F22" s="87">
        <v>220</v>
      </c>
      <c r="G22" s="81">
        <v>4.43</v>
      </c>
      <c r="H22" s="81">
        <v>11.83</v>
      </c>
      <c r="I22" s="81">
        <f t="shared" si="6"/>
        <v>16.259999999999998</v>
      </c>
      <c r="J22" s="81">
        <f t="shared" si="2"/>
        <v>3577.2</v>
      </c>
      <c r="K22" s="86">
        <v>0.27760000000000001</v>
      </c>
      <c r="L22" s="81">
        <f t="shared" si="7"/>
        <v>1245.1400000000001</v>
      </c>
      <c r="M22" s="81">
        <f t="shared" si="7"/>
        <v>3325.08</v>
      </c>
      <c r="N22" s="81">
        <f t="shared" si="8"/>
        <v>4570.22</v>
      </c>
      <c r="Z22" s="83">
        <v>0.25</v>
      </c>
      <c r="AA22" s="84">
        <f t="shared" si="4"/>
        <v>1142.5550000000001</v>
      </c>
      <c r="AB22" s="83">
        <v>0.75</v>
      </c>
      <c r="AC22" s="84">
        <f t="shared" si="5"/>
        <v>3427.665</v>
      </c>
      <c r="AE22" s="85">
        <f t="shared" si="3"/>
        <v>1</v>
      </c>
      <c r="AF22" s="78">
        <f t="shared" si="0"/>
        <v>4570.22</v>
      </c>
      <c r="AG22" s="68" t="str">
        <f t="shared" si="1"/>
        <v>OK</v>
      </c>
    </row>
    <row r="23" spans="1:33" ht="45" outlineLevel="1" x14ac:dyDescent="0.25">
      <c r="A23" s="9" t="s">
        <v>24</v>
      </c>
      <c r="B23" s="9" t="s">
        <v>236</v>
      </c>
      <c r="C23" s="9" t="s">
        <v>259</v>
      </c>
      <c r="D23" s="10" t="s">
        <v>422</v>
      </c>
      <c r="E23" s="9" t="s">
        <v>69</v>
      </c>
      <c r="F23" s="87">
        <v>55</v>
      </c>
      <c r="G23" s="81">
        <v>0.95</v>
      </c>
      <c r="H23" s="81">
        <v>76.95</v>
      </c>
      <c r="I23" s="81">
        <f t="shared" si="6"/>
        <v>77.900000000000006</v>
      </c>
      <c r="J23" s="81">
        <f t="shared" si="2"/>
        <v>4284.5</v>
      </c>
      <c r="K23" s="86">
        <v>0.27760000000000001</v>
      </c>
      <c r="L23" s="81">
        <f t="shared" si="7"/>
        <v>66.75</v>
      </c>
      <c r="M23" s="81">
        <f t="shared" si="7"/>
        <v>5407.12</v>
      </c>
      <c r="N23" s="81">
        <f t="shared" si="8"/>
        <v>5473.87</v>
      </c>
      <c r="T23" s="83">
        <v>0.4</v>
      </c>
      <c r="U23" s="84">
        <f>T23*$N23</f>
        <v>2189.5480000000002</v>
      </c>
      <c r="X23" s="83">
        <v>0.2</v>
      </c>
      <c r="Y23" s="84">
        <f>X23*$N23</f>
        <v>1094.7740000000001</v>
      </c>
      <c r="Z23" s="83">
        <v>0.2</v>
      </c>
      <c r="AA23" s="84">
        <f>Z23*$N23</f>
        <v>1094.7740000000001</v>
      </c>
      <c r="AB23" s="83">
        <v>0.2</v>
      </c>
      <c r="AC23" s="84">
        <f>AB23*$N23</f>
        <v>1094.7740000000001</v>
      </c>
      <c r="AE23" s="85">
        <f t="shared" si="3"/>
        <v>1</v>
      </c>
      <c r="AF23" s="78">
        <f t="shared" si="0"/>
        <v>5473.8700000000008</v>
      </c>
      <c r="AG23" s="68" t="str">
        <f t="shared" si="1"/>
        <v>OK</v>
      </c>
    </row>
    <row r="24" spans="1:33" outlineLevel="1" x14ac:dyDescent="0.25">
      <c r="A24" s="88" t="s">
        <v>6</v>
      </c>
      <c r="B24" s="9" t="s">
        <v>237</v>
      </c>
      <c r="C24" s="92" t="s">
        <v>8</v>
      </c>
      <c r="D24" s="10" t="s">
        <v>238</v>
      </c>
      <c r="E24" s="90" t="s">
        <v>9</v>
      </c>
      <c r="F24" s="87">
        <v>1</v>
      </c>
      <c r="G24" s="81">
        <v>226.5</v>
      </c>
      <c r="H24" s="81">
        <v>0</v>
      </c>
      <c r="I24" s="81">
        <f t="shared" si="6"/>
        <v>226.5</v>
      </c>
      <c r="J24" s="81">
        <f t="shared" si="2"/>
        <v>226.5</v>
      </c>
      <c r="K24" s="86">
        <v>0.27760000000000001</v>
      </c>
      <c r="L24" s="81">
        <f t="shared" si="7"/>
        <v>289.37</v>
      </c>
      <c r="M24" s="81">
        <f t="shared" si="7"/>
        <v>0</v>
      </c>
      <c r="N24" s="81">
        <f t="shared" si="8"/>
        <v>289.37</v>
      </c>
      <c r="T24" s="83">
        <v>1</v>
      </c>
      <c r="U24" s="84">
        <f>T24*$N24</f>
        <v>289.37</v>
      </c>
      <c r="AE24" s="85">
        <f t="shared" ref="AE24" si="9">SUM(T24,X24,Z24,AB24)</f>
        <v>1</v>
      </c>
      <c r="AF24" s="78">
        <f t="shared" ref="AF24" si="10">SUM(U24,Y24,AA24,AC24)</f>
        <v>289.37</v>
      </c>
      <c r="AG24" s="68" t="str">
        <f t="shared" ref="AG24" si="11">IF(AF24=N24,"OK","VERIFICAR")</f>
        <v>OK</v>
      </c>
    </row>
    <row r="25" spans="1:33" ht="30" outlineLevel="1" x14ac:dyDescent="0.25">
      <c r="A25" s="9" t="s">
        <v>24</v>
      </c>
      <c r="B25" s="9" t="s">
        <v>331</v>
      </c>
      <c r="C25" s="92" t="s">
        <v>332</v>
      </c>
      <c r="D25" s="10" t="s">
        <v>334</v>
      </c>
      <c r="E25" s="90" t="s">
        <v>333</v>
      </c>
      <c r="F25" s="87">
        <f>5*2*2</f>
        <v>20</v>
      </c>
      <c r="G25" s="81">
        <v>12.5</v>
      </c>
      <c r="H25" s="81">
        <v>0</v>
      </c>
      <c r="I25" s="81">
        <f t="shared" si="6"/>
        <v>12.5</v>
      </c>
      <c r="J25" s="81">
        <f t="shared" si="2"/>
        <v>250</v>
      </c>
      <c r="K25" s="86">
        <v>0.27760000000000001</v>
      </c>
      <c r="L25" s="81">
        <f t="shared" si="7"/>
        <v>319.39999999999998</v>
      </c>
      <c r="M25" s="81">
        <f t="shared" si="7"/>
        <v>0</v>
      </c>
      <c r="N25" s="81">
        <f t="shared" si="8"/>
        <v>319.39999999999998</v>
      </c>
      <c r="Z25" s="83">
        <v>0.5</v>
      </c>
      <c r="AA25" s="84">
        <f>Z25*$N25</f>
        <v>159.69999999999999</v>
      </c>
      <c r="AB25" s="83">
        <v>0.5</v>
      </c>
      <c r="AC25" s="84">
        <f>AB25*$N25</f>
        <v>159.69999999999999</v>
      </c>
      <c r="AE25" s="85">
        <f t="shared" si="3"/>
        <v>1</v>
      </c>
      <c r="AF25" s="78">
        <f>SUM(U25,Y25,AA25,AC25)</f>
        <v>319.39999999999998</v>
      </c>
      <c r="AG25" s="68" t="str">
        <f>IF(AF25=N25,"OK","VERIFICAR")</f>
        <v>OK</v>
      </c>
    </row>
    <row r="26" spans="1:33" x14ac:dyDescent="0.25">
      <c r="D26" s="93"/>
    </row>
    <row r="27" spans="1:33" x14ac:dyDescent="0.25">
      <c r="A27" s="5" t="s">
        <v>36</v>
      </c>
      <c r="B27" s="6"/>
      <c r="C27" s="6"/>
      <c r="D27" s="29"/>
      <c r="E27" s="6"/>
      <c r="F27" s="7"/>
      <c r="G27" s="7"/>
      <c r="H27" s="7"/>
      <c r="I27" s="8"/>
      <c r="J27" s="8"/>
      <c r="K27" s="8"/>
      <c r="L27" s="8"/>
      <c r="M27" s="8"/>
      <c r="N27" s="8">
        <f>SUM(N28:N35)</f>
        <v>10786.08</v>
      </c>
      <c r="P27" s="76">
        <f>N27/$N$170</f>
        <v>3.1467795476717367E-2</v>
      </c>
      <c r="Q27" s="76"/>
      <c r="T27" s="77">
        <f>U27/$N$170</f>
        <v>0</v>
      </c>
      <c r="U27" s="75">
        <f>SUM(U28:U35)</f>
        <v>0</v>
      </c>
      <c r="V27" s="77">
        <f>W27/$N$170</f>
        <v>0</v>
      </c>
      <c r="W27" s="75">
        <f>SUM(W28:W35)</f>
        <v>0</v>
      </c>
      <c r="X27" s="77">
        <f>Y27/$N$170</f>
        <v>0</v>
      </c>
      <c r="Y27" s="75">
        <f>SUM(Y28:Y35)</f>
        <v>0</v>
      </c>
      <c r="Z27" s="58">
        <f>AA27/$N$170</f>
        <v>7.8669488691793417E-3</v>
      </c>
      <c r="AA27" s="8">
        <f>SUM(AA28:AA35)</f>
        <v>2696.52</v>
      </c>
      <c r="AB27" s="58">
        <f>AC27/$N$170</f>
        <v>2.3600846607538029E-2</v>
      </c>
      <c r="AC27" s="8">
        <f>SUM(AC28:AC35)</f>
        <v>8089.56</v>
      </c>
      <c r="AE27" s="71"/>
      <c r="AF27" s="78">
        <f t="shared" ref="AF27:AF35" si="12">SUM(U27,Y27,AA27,AC27)</f>
        <v>10786.08</v>
      </c>
      <c r="AG27" s="68" t="str">
        <f t="shared" ref="AG27:AG35" si="13">IF(AF27=N27,"OK","VERIFICAR")</f>
        <v>OK</v>
      </c>
    </row>
    <row r="28" spans="1:33" outlineLevel="1" x14ac:dyDescent="0.25">
      <c r="A28" s="9" t="s">
        <v>24</v>
      </c>
      <c r="B28" s="9" t="s">
        <v>37</v>
      </c>
      <c r="C28" s="9" t="s">
        <v>245</v>
      </c>
      <c r="D28" s="94" t="s">
        <v>38</v>
      </c>
      <c r="E28" s="79" t="s">
        <v>421</v>
      </c>
      <c r="F28" s="80">
        <v>7</v>
      </c>
      <c r="G28" s="81">
        <v>6.4</v>
      </c>
      <c r="H28" s="81">
        <v>0</v>
      </c>
      <c r="I28" s="81">
        <f t="shared" ref="I28:I35" si="14">G28+H28</f>
        <v>6.4</v>
      </c>
      <c r="J28" s="81">
        <f t="shared" ref="J28:J35" si="15">TRUNC(I28*F28,2)</f>
        <v>44.8</v>
      </c>
      <c r="K28" s="86">
        <v>0.27760000000000001</v>
      </c>
      <c r="L28" s="81">
        <f t="shared" ref="L28:M35" si="16">TRUNC($F28*G28*(1+$K28),2)</f>
        <v>57.23</v>
      </c>
      <c r="M28" s="81">
        <f t="shared" si="16"/>
        <v>0</v>
      </c>
      <c r="N28" s="81">
        <f t="shared" ref="N28:N35" si="17">M28+L28</f>
        <v>57.23</v>
      </c>
      <c r="Z28" s="83">
        <v>0.25</v>
      </c>
      <c r="AA28" s="84">
        <f t="shared" ref="AA28:AA35" si="18">Z28*$N28</f>
        <v>14.307499999999999</v>
      </c>
      <c r="AB28" s="83">
        <v>0.75</v>
      </c>
      <c r="AC28" s="84">
        <f t="shared" ref="AC28:AC35" si="19">AB28*$N28</f>
        <v>42.922499999999999</v>
      </c>
      <c r="AE28" s="85">
        <f t="shared" ref="AE28:AE35" si="20">SUM(T28,X28,Z28,AB28)</f>
        <v>1</v>
      </c>
      <c r="AF28" s="78">
        <f t="shared" si="12"/>
        <v>57.23</v>
      </c>
      <c r="AG28" s="68" t="str">
        <f t="shared" si="13"/>
        <v>OK</v>
      </c>
    </row>
    <row r="29" spans="1:33" outlineLevel="1" x14ac:dyDescent="0.25">
      <c r="A29" s="9" t="s">
        <v>24</v>
      </c>
      <c r="B29" s="9" t="s">
        <v>39</v>
      </c>
      <c r="C29" s="9" t="s">
        <v>246</v>
      </c>
      <c r="D29" s="94" t="s">
        <v>40</v>
      </c>
      <c r="E29" s="79" t="s">
        <v>17</v>
      </c>
      <c r="F29" s="80">
        <v>7</v>
      </c>
      <c r="G29" s="81">
        <v>0.87</v>
      </c>
      <c r="H29" s="81">
        <v>0</v>
      </c>
      <c r="I29" s="81">
        <f t="shared" si="14"/>
        <v>0.87</v>
      </c>
      <c r="J29" s="81">
        <f t="shared" si="15"/>
        <v>6.09</v>
      </c>
      <c r="K29" s="86">
        <v>0.27760000000000001</v>
      </c>
      <c r="L29" s="81">
        <f t="shared" si="16"/>
        <v>7.78</v>
      </c>
      <c r="M29" s="81">
        <f t="shared" si="16"/>
        <v>0</v>
      </c>
      <c r="N29" s="81">
        <f t="shared" si="17"/>
        <v>7.78</v>
      </c>
      <c r="Z29" s="83">
        <v>0.25</v>
      </c>
      <c r="AA29" s="84">
        <f t="shared" si="18"/>
        <v>1.9450000000000001</v>
      </c>
      <c r="AB29" s="83">
        <v>0.75</v>
      </c>
      <c r="AC29" s="84">
        <f t="shared" si="19"/>
        <v>5.835</v>
      </c>
      <c r="AE29" s="85">
        <f t="shared" si="20"/>
        <v>1</v>
      </c>
      <c r="AF29" s="78">
        <f t="shared" si="12"/>
        <v>7.78</v>
      </c>
      <c r="AG29" s="68" t="str">
        <f t="shared" si="13"/>
        <v>OK</v>
      </c>
    </row>
    <row r="30" spans="1:33" ht="30" outlineLevel="1" x14ac:dyDescent="0.25">
      <c r="A30" s="9" t="s">
        <v>24</v>
      </c>
      <c r="B30" s="9" t="s">
        <v>41</v>
      </c>
      <c r="C30" s="9" t="s">
        <v>247</v>
      </c>
      <c r="D30" s="95" t="s">
        <v>42</v>
      </c>
      <c r="E30" s="79" t="s">
        <v>17</v>
      </c>
      <c r="F30" s="80">
        <v>550</v>
      </c>
      <c r="G30" s="81">
        <v>6.91</v>
      </c>
      <c r="H30" s="81">
        <v>1.62</v>
      </c>
      <c r="I30" s="81">
        <f t="shared" si="14"/>
        <v>8.5300000000000011</v>
      </c>
      <c r="J30" s="81">
        <f t="shared" si="15"/>
        <v>4691.5</v>
      </c>
      <c r="K30" s="86">
        <v>0.27760000000000001</v>
      </c>
      <c r="L30" s="81">
        <f t="shared" si="16"/>
        <v>4855.51</v>
      </c>
      <c r="M30" s="81">
        <f t="shared" si="16"/>
        <v>1138.3399999999999</v>
      </c>
      <c r="N30" s="81">
        <f t="shared" si="17"/>
        <v>5993.85</v>
      </c>
      <c r="Z30" s="83">
        <v>0.25</v>
      </c>
      <c r="AA30" s="84">
        <f t="shared" si="18"/>
        <v>1498.4625000000001</v>
      </c>
      <c r="AB30" s="83">
        <v>0.75</v>
      </c>
      <c r="AC30" s="84">
        <f t="shared" si="19"/>
        <v>4495.3875000000007</v>
      </c>
      <c r="AE30" s="85">
        <f t="shared" si="20"/>
        <v>1</v>
      </c>
      <c r="AF30" s="78">
        <f t="shared" si="12"/>
        <v>5993.85</v>
      </c>
      <c r="AG30" s="68" t="str">
        <f t="shared" si="13"/>
        <v>OK</v>
      </c>
    </row>
    <row r="31" spans="1:33" ht="30" outlineLevel="1" x14ac:dyDescent="0.25">
      <c r="A31" s="9" t="s">
        <v>24</v>
      </c>
      <c r="B31" s="9" t="s">
        <v>43</v>
      </c>
      <c r="C31" s="9" t="s">
        <v>249</v>
      </c>
      <c r="D31" s="95" t="s">
        <v>44</v>
      </c>
      <c r="E31" s="79" t="s">
        <v>9</v>
      </c>
      <c r="F31" s="80">
        <v>5</v>
      </c>
      <c r="G31" s="81">
        <f>0.25+94.62+0.23</f>
        <v>95.100000000000009</v>
      </c>
      <c r="H31" s="81">
        <v>84.63</v>
      </c>
      <c r="I31" s="81">
        <f t="shared" si="14"/>
        <v>179.73000000000002</v>
      </c>
      <c r="J31" s="81">
        <f t="shared" si="15"/>
        <v>898.65</v>
      </c>
      <c r="K31" s="86">
        <v>0.27760000000000001</v>
      </c>
      <c r="L31" s="81">
        <f t="shared" si="16"/>
        <v>607.49</v>
      </c>
      <c r="M31" s="81">
        <f t="shared" si="16"/>
        <v>540.61</v>
      </c>
      <c r="N31" s="81">
        <f t="shared" si="17"/>
        <v>1148.0999999999999</v>
      </c>
      <c r="Z31" s="83">
        <v>0.25</v>
      </c>
      <c r="AA31" s="84">
        <f t="shared" si="18"/>
        <v>287.02499999999998</v>
      </c>
      <c r="AB31" s="83">
        <v>0.75</v>
      </c>
      <c r="AC31" s="84">
        <f t="shared" si="19"/>
        <v>861.07499999999993</v>
      </c>
      <c r="AE31" s="85">
        <f t="shared" si="20"/>
        <v>1</v>
      </c>
      <c r="AF31" s="78">
        <f t="shared" si="12"/>
        <v>1148.0999999999999</v>
      </c>
      <c r="AG31" s="68" t="str">
        <f t="shared" si="13"/>
        <v>OK</v>
      </c>
    </row>
    <row r="32" spans="1:33" ht="30" outlineLevel="1" x14ac:dyDescent="0.25">
      <c r="A32" s="9" t="s">
        <v>24</v>
      </c>
      <c r="B32" s="9" t="s">
        <v>45</v>
      </c>
      <c r="C32" s="9" t="s">
        <v>250</v>
      </c>
      <c r="D32" s="95" t="s">
        <v>46</v>
      </c>
      <c r="E32" s="79" t="s">
        <v>17</v>
      </c>
      <c r="F32" s="80">
        <v>66</v>
      </c>
      <c r="G32" s="81">
        <v>3.37</v>
      </c>
      <c r="H32" s="81">
        <v>2.44</v>
      </c>
      <c r="I32" s="81">
        <f t="shared" si="14"/>
        <v>5.8100000000000005</v>
      </c>
      <c r="J32" s="81">
        <f t="shared" si="15"/>
        <v>383.46</v>
      </c>
      <c r="K32" s="86">
        <v>0.27760000000000001</v>
      </c>
      <c r="L32" s="81">
        <f t="shared" si="16"/>
        <v>284.16000000000003</v>
      </c>
      <c r="M32" s="81">
        <f t="shared" si="16"/>
        <v>205.74</v>
      </c>
      <c r="N32" s="81">
        <f t="shared" si="17"/>
        <v>489.90000000000003</v>
      </c>
      <c r="Z32" s="83">
        <v>0.25</v>
      </c>
      <c r="AA32" s="84">
        <f t="shared" si="18"/>
        <v>122.47500000000001</v>
      </c>
      <c r="AB32" s="83">
        <v>0.75</v>
      </c>
      <c r="AC32" s="84">
        <f t="shared" si="19"/>
        <v>367.42500000000001</v>
      </c>
      <c r="AE32" s="85">
        <f t="shared" si="20"/>
        <v>1</v>
      </c>
      <c r="AF32" s="78">
        <f t="shared" si="12"/>
        <v>489.90000000000003</v>
      </c>
      <c r="AG32" s="68" t="str">
        <f t="shared" si="13"/>
        <v>OK</v>
      </c>
    </row>
    <row r="33" spans="1:33" ht="30" outlineLevel="1" x14ac:dyDescent="0.25">
      <c r="A33" s="9" t="s">
        <v>24</v>
      </c>
      <c r="B33" s="9" t="s">
        <v>47</v>
      </c>
      <c r="C33" s="96" t="s">
        <v>251</v>
      </c>
      <c r="D33" s="95" t="s">
        <v>48</v>
      </c>
      <c r="E33" s="79" t="s">
        <v>17</v>
      </c>
      <c r="F33" s="80">
        <v>100</v>
      </c>
      <c r="G33" s="81">
        <v>9.91</v>
      </c>
      <c r="H33" s="81">
        <v>10.64</v>
      </c>
      <c r="I33" s="81">
        <f t="shared" si="14"/>
        <v>20.55</v>
      </c>
      <c r="J33" s="81">
        <f t="shared" si="15"/>
        <v>2055</v>
      </c>
      <c r="K33" s="86">
        <v>0.27760000000000001</v>
      </c>
      <c r="L33" s="81">
        <f t="shared" si="16"/>
        <v>1266.0999999999999</v>
      </c>
      <c r="M33" s="81">
        <f t="shared" si="16"/>
        <v>1359.36</v>
      </c>
      <c r="N33" s="81">
        <f t="shared" si="17"/>
        <v>2625.46</v>
      </c>
      <c r="Z33" s="83">
        <v>0.25</v>
      </c>
      <c r="AA33" s="84">
        <f t="shared" si="18"/>
        <v>656.36500000000001</v>
      </c>
      <c r="AB33" s="83">
        <v>0.75</v>
      </c>
      <c r="AC33" s="84">
        <f t="shared" si="19"/>
        <v>1969.095</v>
      </c>
      <c r="AE33" s="85">
        <f t="shared" si="20"/>
        <v>1</v>
      </c>
      <c r="AF33" s="78">
        <f t="shared" si="12"/>
        <v>2625.46</v>
      </c>
      <c r="AG33" s="68" t="str">
        <f t="shared" si="13"/>
        <v>OK</v>
      </c>
    </row>
    <row r="34" spans="1:33" ht="30" outlineLevel="1" x14ac:dyDescent="0.25">
      <c r="A34" s="9" t="s">
        <v>24</v>
      </c>
      <c r="B34" s="9" t="s">
        <v>49</v>
      </c>
      <c r="C34" s="9" t="s">
        <v>252</v>
      </c>
      <c r="D34" s="95" t="s">
        <v>50</v>
      </c>
      <c r="E34" s="79" t="s">
        <v>9</v>
      </c>
      <c r="F34" s="80">
        <v>330</v>
      </c>
      <c r="G34" s="81">
        <v>0.56000000000000005</v>
      </c>
      <c r="H34" s="81">
        <v>0</v>
      </c>
      <c r="I34" s="81">
        <f t="shared" si="14"/>
        <v>0.56000000000000005</v>
      </c>
      <c r="J34" s="81">
        <f t="shared" si="15"/>
        <v>184.8</v>
      </c>
      <c r="K34" s="86">
        <v>0.27760000000000001</v>
      </c>
      <c r="L34" s="81">
        <f t="shared" si="16"/>
        <v>236.1</v>
      </c>
      <c r="M34" s="81">
        <f t="shared" si="16"/>
        <v>0</v>
      </c>
      <c r="N34" s="81">
        <f t="shared" si="17"/>
        <v>236.1</v>
      </c>
      <c r="Z34" s="83">
        <v>0.25</v>
      </c>
      <c r="AA34" s="84">
        <f t="shared" si="18"/>
        <v>59.024999999999999</v>
      </c>
      <c r="AB34" s="83">
        <v>0.75</v>
      </c>
      <c r="AC34" s="84">
        <f t="shared" si="19"/>
        <v>177.07499999999999</v>
      </c>
      <c r="AE34" s="85">
        <f t="shared" si="20"/>
        <v>1</v>
      </c>
      <c r="AF34" s="78">
        <f t="shared" si="12"/>
        <v>236.1</v>
      </c>
      <c r="AG34" s="68" t="str">
        <f t="shared" si="13"/>
        <v>OK</v>
      </c>
    </row>
    <row r="35" spans="1:33" ht="30" outlineLevel="1" x14ac:dyDescent="0.25">
      <c r="A35" s="9" t="s">
        <v>24</v>
      </c>
      <c r="B35" s="9" t="s">
        <v>51</v>
      </c>
      <c r="C35" s="9" t="s">
        <v>253</v>
      </c>
      <c r="D35" s="95" t="s">
        <v>52</v>
      </c>
      <c r="E35" s="79" t="s">
        <v>9</v>
      </c>
      <c r="F35" s="80">
        <v>330</v>
      </c>
      <c r="G35" s="81">
        <v>0.54</v>
      </c>
      <c r="H35" s="81">
        <v>0</v>
      </c>
      <c r="I35" s="81">
        <f t="shared" si="14"/>
        <v>0.54</v>
      </c>
      <c r="J35" s="81">
        <f t="shared" si="15"/>
        <v>178.2</v>
      </c>
      <c r="K35" s="86">
        <v>0.27760000000000001</v>
      </c>
      <c r="L35" s="81">
        <f t="shared" si="16"/>
        <v>227.66</v>
      </c>
      <c r="M35" s="81">
        <f t="shared" si="16"/>
        <v>0</v>
      </c>
      <c r="N35" s="81">
        <f t="shared" si="17"/>
        <v>227.66</v>
      </c>
      <c r="Z35" s="83">
        <v>0.25</v>
      </c>
      <c r="AA35" s="84">
        <f t="shared" si="18"/>
        <v>56.914999999999999</v>
      </c>
      <c r="AB35" s="83">
        <v>0.75</v>
      </c>
      <c r="AC35" s="84">
        <f t="shared" si="19"/>
        <v>170.745</v>
      </c>
      <c r="AE35" s="85">
        <f t="shared" si="20"/>
        <v>1</v>
      </c>
      <c r="AF35" s="78">
        <f t="shared" si="12"/>
        <v>227.66</v>
      </c>
      <c r="AG35" s="68" t="str">
        <f t="shared" si="13"/>
        <v>OK</v>
      </c>
    </row>
    <row r="36" spans="1:33" x14ac:dyDescent="0.25">
      <c r="D36" s="93"/>
    </row>
    <row r="37" spans="1:33" x14ac:dyDescent="0.25">
      <c r="A37" s="5" t="s">
        <v>53</v>
      </c>
      <c r="B37" s="6"/>
      <c r="C37" s="6"/>
      <c r="D37" s="29"/>
      <c r="E37" s="6"/>
      <c r="F37" s="7"/>
      <c r="G37" s="7"/>
      <c r="H37" s="7"/>
      <c r="I37" s="8"/>
      <c r="J37" s="8"/>
      <c r="K37" s="8"/>
      <c r="L37" s="8"/>
      <c r="M37" s="8"/>
      <c r="N37" s="8">
        <f>SUM(N38:N45)</f>
        <v>7017.1299999999992</v>
      </c>
      <c r="P37" s="76">
        <f>N37/$N$170</f>
        <v>2.0472091035254488E-2</v>
      </c>
      <c r="Q37" s="76"/>
      <c r="T37" s="77">
        <f>U37/$N$170</f>
        <v>0</v>
      </c>
      <c r="U37" s="75">
        <f>SUM(U38:U45)</f>
        <v>0</v>
      </c>
      <c r="V37" s="77">
        <f>W37/$N$170</f>
        <v>0</v>
      </c>
      <c r="W37" s="75">
        <f>SUM(W38:W45)</f>
        <v>0</v>
      </c>
      <c r="X37" s="77">
        <f>Y37/$N$170</f>
        <v>0</v>
      </c>
      <c r="Y37" s="75">
        <f>SUM(Y38:Y45)</f>
        <v>0</v>
      </c>
      <c r="Z37" s="58">
        <f>AA37/$N$170</f>
        <v>5.118022758813622E-3</v>
      </c>
      <c r="AA37" s="8">
        <f>SUM(AA38:AA45)</f>
        <v>1754.2824999999998</v>
      </c>
      <c r="AB37" s="58">
        <f>AC37/$N$170</f>
        <v>1.5354068276440867E-2</v>
      </c>
      <c r="AC37" s="8">
        <f>SUM(AC38:AC45)</f>
        <v>5262.8474999999999</v>
      </c>
      <c r="AE37" s="71"/>
      <c r="AF37" s="78">
        <f t="shared" ref="AF37:AF45" si="21">SUM(U37,Y37,AA37,AC37)</f>
        <v>7017.1299999999992</v>
      </c>
      <c r="AG37" s="68" t="str">
        <f t="shared" ref="AG37:AG45" si="22">IF(AF37=N37,"OK","VERIFICAR")</f>
        <v>OK</v>
      </c>
    </row>
    <row r="38" spans="1:33" outlineLevel="1" x14ac:dyDescent="0.25">
      <c r="A38" s="9" t="s">
        <v>6</v>
      </c>
      <c r="B38" s="9" t="s">
        <v>54</v>
      </c>
      <c r="C38" s="9" t="s">
        <v>8</v>
      </c>
      <c r="D38" s="10" t="s">
        <v>55</v>
      </c>
      <c r="E38" s="79" t="s">
        <v>9</v>
      </c>
      <c r="F38" s="80">
        <v>5</v>
      </c>
      <c r="G38" s="81">
        <f>COTACOES!M2</f>
        <v>139.845</v>
      </c>
      <c r="H38" s="81">
        <v>0</v>
      </c>
      <c r="I38" s="81">
        <f t="shared" ref="I38:I45" si="23">G38+H38</f>
        <v>139.845</v>
      </c>
      <c r="J38" s="81">
        <f t="shared" ref="J38:J45" si="24">TRUNC(I38*F38,2)</f>
        <v>699.22</v>
      </c>
      <c r="K38" s="86">
        <v>0.27760000000000001</v>
      </c>
      <c r="L38" s="81">
        <f t="shared" ref="L38:M45" si="25">TRUNC($F38*G38*(1+$K38),2)</f>
        <v>893.32</v>
      </c>
      <c r="M38" s="81">
        <f t="shared" si="25"/>
        <v>0</v>
      </c>
      <c r="N38" s="81">
        <f t="shared" ref="N38:N45" si="26">M38+L38</f>
        <v>893.32</v>
      </c>
      <c r="Z38" s="83">
        <v>0.25</v>
      </c>
      <c r="AA38" s="84">
        <f t="shared" ref="AA38:AA45" si="27">Z38*$N38</f>
        <v>223.33</v>
      </c>
      <c r="AB38" s="83">
        <v>0.75</v>
      </c>
      <c r="AC38" s="84">
        <f t="shared" ref="AC38:AC45" si="28">AB38*$N38</f>
        <v>669.99</v>
      </c>
      <c r="AE38" s="85">
        <f t="shared" ref="AE38:AE45" si="29">SUM(T38,X38,Z38,AB38)</f>
        <v>1</v>
      </c>
      <c r="AF38" s="78">
        <f t="shared" si="21"/>
        <v>893.32</v>
      </c>
      <c r="AG38" s="68" t="str">
        <f t="shared" si="22"/>
        <v>OK</v>
      </c>
    </row>
    <row r="39" spans="1:33" outlineLevel="1" x14ac:dyDescent="0.25">
      <c r="A39" s="9" t="s">
        <v>6</v>
      </c>
      <c r="B39" s="9" t="s">
        <v>56</v>
      </c>
      <c r="C39" s="9" t="s">
        <v>8</v>
      </c>
      <c r="D39" s="10" t="s">
        <v>57</v>
      </c>
      <c r="E39" s="79" t="s">
        <v>9</v>
      </c>
      <c r="F39" s="80">
        <v>10</v>
      </c>
      <c r="G39" s="81">
        <f>COTACOES!M3</f>
        <v>78.989999999999995</v>
      </c>
      <c r="H39" s="81">
        <v>0</v>
      </c>
      <c r="I39" s="81">
        <f t="shared" si="23"/>
        <v>78.989999999999995</v>
      </c>
      <c r="J39" s="81">
        <f t="shared" si="24"/>
        <v>789.9</v>
      </c>
      <c r="K39" s="86">
        <v>0.27760000000000001</v>
      </c>
      <c r="L39" s="81">
        <f t="shared" si="25"/>
        <v>1009.17</v>
      </c>
      <c r="M39" s="81">
        <f t="shared" si="25"/>
        <v>0</v>
      </c>
      <c r="N39" s="81">
        <f t="shared" si="26"/>
        <v>1009.17</v>
      </c>
      <c r="Z39" s="83">
        <v>0.25</v>
      </c>
      <c r="AA39" s="84">
        <f t="shared" si="27"/>
        <v>252.29249999999999</v>
      </c>
      <c r="AB39" s="83">
        <v>0.75</v>
      </c>
      <c r="AC39" s="84">
        <f t="shared" si="28"/>
        <v>756.87749999999994</v>
      </c>
      <c r="AE39" s="85">
        <f t="shared" si="29"/>
        <v>1</v>
      </c>
      <c r="AF39" s="78">
        <f t="shared" si="21"/>
        <v>1009.17</v>
      </c>
      <c r="AG39" s="68" t="str">
        <f t="shared" si="22"/>
        <v>OK</v>
      </c>
    </row>
    <row r="40" spans="1:33" outlineLevel="1" x14ac:dyDescent="0.25">
      <c r="A40" s="9" t="s">
        <v>6</v>
      </c>
      <c r="B40" s="9" t="s">
        <v>58</v>
      </c>
      <c r="C40" s="9" t="s">
        <v>8</v>
      </c>
      <c r="D40" s="10" t="s">
        <v>59</v>
      </c>
      <c r="E40" s="79" t="s">
        <v>9</v>
      </c>
      <c r="F40" s="80">
        <v>30</v>
      </c>
      <c r="G40" s="81">
        <f>COTACOES!M4</f>
        <v>46.709166666666668</v>
      </c>
      <c r="H40" s="81">
        <v>0</v>
      </c>
      <c r="I40" s="81">
        <f t="shared" si="23"/>
        <v>46.709166666666668</v>
      </c>
      <c r="J40" s="81">
        <f t="shared" si="24"/>
        <v>1401.27</v>
      </c>
      <c r="K40" s="86">
        <v>0.27760000000000001</v>
      </c>
      <c r="L40" s="81">
        <f t="shared" si="25"/>
        <v>1790.26</v>
      </c>
      <c r="M40" s="81">
        <f t="shared" si="25"/>
        <v>0</v>
      </c>
      <c r="N40" s="81">
        <f t="shared" si="26"/>
        <v>1790.26</v>
      </c>
      <c r="Z40" s="83">
        <v>0.25</v>
      </c>
      <c r="AA40" s="84">
        <f t="shared" si="27"/>
        <v>447.565</v>
      </c>
      <c r="AB40" s="83">
        <v>0.75</v>
      </c>
      <c r="AC40" s="84">
        <f t="shared" si="28"/>
        <v>1342.6949999999999</v>
      </c>
      <c r="AE40" s="85">
        <f t="shared" si="29"/>
        <v>1</v>
      </c>
      <c r="AF40" s="78">
        <f t="shared" si="21"/>
        <v>1790.26</v>
      </c>
      <c r="AG40" s="68" t="str">
        <f t="shared" si="22"/>
        <v>OK</v>
      </c>
    </row>
    <row r="41" spans="1:33" outlineLevel="1" x14ac:dyDescent="0.25">
      <c r="A41" s="9" t="s">
        <v>6</v>
      </c>
      <c r="B41" s="9" t="s">
        <v>60</v>
      </c>
      <c r="C41" s="9" t="s">
        <v>8</v>
      </c>
      <c r="D41" s="10" t="s">
        <v>61</v>
      </c>
      <c r="E41" s="79" t="s">
        <v>9</v>
      </c>
      <c r="F41" s="80">
        <v>5</v>
      </c>
      <c r="G41" s="81">
        <f>COTACOES!M5</f>
        <v>415.72499999999997</v>
      </c>
      <c r="H41" s="81">
        <v>0</v>
      </c>
      <c r="I41" s="81">
        <f t="shared" si="23"/>
        <v>415.72499999999997</v>
      </c>
      <c r="J41" s="81">
        <f t="shared" si="24"/>
        <v>2078.62</v>
      </c>
      <c r="K41" s="86">
        <v>0.27760000000000001</v>
      </c>
      <c r="L41" s="81">
        <f t="shared" si="25"/>
        <v>2655.65</v>
      </c>
      <c r="M41" s="81">
        <f t="shared" si="25"/>
        <v>0</v>
      </c>
      <c r="N41" s="81">
        <f t="shared" si="26"/>
        <v>2655.65</v>
      </c>
      <c r="Z41" s="83">
        <v>0.25</v>
      </c>
      <c r="AA41" s="84">
        <f t="shared" si="27"/>
        <v>663.91250000000002</v>
      </c>
      <c r="AB41" s="83">
        <v>0.75</v>
      </c>
      <c r="AC41" s="84">
        <f t="shared" si="28"/>
        <v>1991.7375000000002</v>
      </c>
      <c r="AE41" s="85">
        <f t="shared" si="29"/>
        <v>1</v>
      </c>
      <c r="AF41" s="78">
        <f t="shared" si="21"/>
        <v>2655.65</v>
      </c>
      <c r="AG41" s="68" t="str">
        <f t="shared" si="22"/>
        <v>OK</v>
      </c>
    </row>
    <row r="42" spans="1:33" ht="30" outlineLevel="1" x14ac:dyDescent="0.25">
      <c r="A42" s="9" t="s">
        <v>24</v>
      </c>
      <c r="B42" s="9" t="s">
        <v>62</v>
      </c>
      <c r="C42" s="9" t="s">
        <v>256</v>
      </c>
      <c r="D42" s="95" t="s">
        <v>255</v>
      </c>
      <c r="E42" s="79" t="s">
        <v>9</v>
      </c>
      <c r="F42" s="80">
        <v>20</v>
      </c>
      <c r="G42" s="81">
        <v>6.6</v>
      </c>
      <c r="H42" s="81">
        <v>4.26</v>
      </c>
      <c r="I42" s="81">
        <f t="shared" si="23"/>
        <v>10.86</v>
      </c>
      <c r="J42" s="81">
        <f t="shared" si="24"/>
        <v>217.2</v>
      </c>
      <c r="K42" s="86">
        <v>0.27760000000000001</v>
      </c>
      <c r="L42" s="81">
        <f t="shared" si="25"/>
        <v>168.64</v>
      </c>
      <c r="M42" s="81">
        <f t="shared" si="25"/>
        <v>108.85</v>
      </c>
      <c r="N42" s="81">
        <f t="shared" si="26"/>
        <v>277.49</v>
      </c>
      <c r="Z42" s="83">
        <v>0.25</v>
      </c>
      <c r="AA42" s="84">
        <f t="shared" si="27"/>
        <v>69.372500000000002</v>
      </c>
      <c r="AB42" s="83">
        <v>0.75</v>
      </c>
      <c r="AC42" s="84">
        <f t="shared" si="28"/>
        <v>208.11750000000001</v>
      </c>
      <c r="AE42" s="85">
        <f t="shared" si="29"/>
        <v>1</v>
      </c>
      <c r="AF42" s="78">
        <f t="shared" si="21"/>
        <v>277.49</v>
      </c>
      <c r="AG42" s="68" t="str">
        <f t="shared" si="22"/>
        <v>OK</v>
      </c>
    </row>
    <row r="43" spans="1:33" ht="30" outlineLevel="1" x14ac:dyDescent="0.25">
      <c r="A43" s="9" t="s">
        <v>24</v>
      </c>
      <c r="B43" s="9" t="s">
        <v>63</v>
      </c>
      <c r="C43" s="9" t="s">
        <v>254</v>
      </c>
      <c r="D43" s="95" t="s">
        <v>64</v>
      </c>
      <c r="E43" s="79" t="s">
        <v>9</v>
      </c>
      <c r="F43" s="80">
        <v>30</v>
      </c>
      <c r="G43" s="81">
        <v>0.62</v>
      </c>
      <c r="H43" s="81">
        <v>0</v>
      </c>
      <c r="I43" s="81">
        <f t="shared" si="23"/>
        <v>0.62</v>
      </c>
      <c r="J43" s="81">
        <f t="shared" si="24"/>
        <v>18.600000000000001</v>
      </c>
      <c r="K43" s="86">
        <v>0.27760000000000001</v>
      </c>
      <c r="L43" s="81">
        <f t="shared" si="25"/>
        <v>23.76</v>
      </c>
      <c r="M43" s="81">
        <f t="shared" si="25"/>
        <v>0</v>
      </c>
      <c r="N43" s="81">
        <f t="shared" si="26"/>
        <v>23.76</v>
      </c>
      <c r="Z43" s="83">
        <v>0.25</v>
      </c>
      <c r="AA43" s="84">
        <f t="shared" si="27"/>
        <v>5.94</v>
      </c>
      <c r="AB43" s="83">
        <v>0.75</v>
      </c>
      <c r="AC43" s="84">
        <f t="shared" si="28"/>
        <v>17.82</v>
      </c>
      <c r="AE43" s="85">
        <f t="shared" si="29"/>
        <v>1</v>
      </c>
      <c r="AF43" s="78">
        <f t="shared" si="21"/>
        <v>23.76</v>
      </c>
      <c r="AG43" s="68" t="str">
        <f t="shared" si="22"/>
        <v>OK</v>
      </c>
    </row>
    <row r="44" spans="1:33" outlineLevel="1" x14ac:dyDescent="0.25">
      <c r="A44" s="9" t="s">
        <v>6</v>
      </c>
      <c r="B44" s="9" t="s">
        <v>65</v>
      </c>
      <c r="C44" s="9" t="s">
        <v>8</v>
      </c>
      <c r="D44" s="10" t="s">
        <v>66</v>
      </c>
      <c r="E44" s="9" t="s">
        <v>9</v>
      </c>
      <c r="F44" s="87">
        <v>5</v>
      </c>
      <c r="G44" s="81">
        <f>COTACOES!M6</f>
        <v>30.25</v>
      </c>
      <c r="H44" s="81">
        <v>0</v>
      </c>
      <c r="I44" s="81">
        <f t="shared" si="23"/>
        <v>30.25</v>
      </c>
      <c r="J44" s="81">
        <f t="shared" si="24"/>
        <v>151.25</v>
      </c>
      <c r="K44" s="86">
        <v>0.27760000000000001</v>
      </c>
      <c r="L44" s="81">
        <f t="shared" si="25"/>
        <v>193.23</v>
      </c>
      <c r="M44" s="81">
        <f t="shared" si="25"/>
        <v>0</v>
      </c>
      <c r="N44" s="81">
        <f t="shared" si="26"/>
        <v>193.23</v>
      </c>
      <c r="Z44" s="83">
        <v>0.25</v>
      </c>
      <c r="AA44" s="84">
        <f t="shared" si="27"/>
        <v>48.307499999999997</v>
      </c>
      <c r="AB44" s="83">
        <v>0.75</v>
      </c>
      <c r="AC44" s="84">
        <f t="shared" si="28"/>
        <v>144.92249999999999</v>
      </c>
      <c r="AE44" s="85">
        <f t="shared" si="29"/>
        <v>1</v>
      </c>
      <c r="AF44" s="78">
        <f t="shared" si="21"/>
        <v>193.23</v>
      </c>
      <c r="AG44" s="68" t="str">
        <f t="shared" si="22"/>
        <v>OK</v>
      </c>
    </row>
    <row r="45" spans="1:33" outlineLevel="1" x14ac:dyDescent="0.25">
      <c r="A45" s="9" t="s">
        <v>24</v>
      </c>
      <c r="B45" s="9" t="s">
        <v>67</v>
      </c>
      <c r="C45" s="9" t="s">
        <v>257</v>
      </c>
      <c r="D45" s="10" t="s">
        <v>68</v>
      </c>
      <c r="E45" s="9" t="s">
        <v>69</v>
      </c>
      <c r="F45" s="87">
        <v>8</v>
      </c>
      <c r="G45" s="81">
        <v>4.5599999999999996</v>
      </c>
      <c r="H45" s="81">
        <v>12.49</v>
      </c>
      <c r="I45" s="81">
        <f t="shared" si="23"/>
        <v>17.05</v>
      </c>
      <c r="J45" s="81">
        <f t="shared" si="24"/>
        <v>136.4</v>
      </c>
      <c r="K45" s="86">
        <v>0.27760000000000001</v>
      </c>
      <c r="L45" s="81">
        <f t="shared" si="25"/>
        <v>46.6</v>
      </c>
      <c r="M45" s="81">
        <f t="shared" si="25"/>
        <v>127.65</v>
      </c>
      <c r="N45" s="81">
        <f t="shared" si="26"/>
        <v>174.25</v>
      </c>
      <c r="Z45" s="83">
        <v>0.25</v>
      </c>
      <c r="AA45" s="84">
        <f t="shared" si="27"/>
        <v>43.5625</v>
      </c>
      <c r="AB45" s="83">
        <v>0.75</v>
      </c>
      <c r="AC45" s="84">
        <f t="shared" si="28"/>
        <v>130.6875</v>
      </c>
      <c r="AE45" s="85">
        <f t="shared" si="29"/>
        <v>1</v>
      </c>
      <c r="AF45" s="78">
        <f t="shared" si="21"/>
        <v>174.25</v>
      </c>
      <c r="AG45" s="68" t="str">
        <f t="shared" si="22"/>
        <v>OK</v>
      </c>
    </row>
    <row r="46" spans="1:33" x14ac:dyDescent="0.25">
      <c r="D46" s="93"/>
    </row>
    <row r="47" spans="1:33" x14ac:dyDescent="0.25">
      <c r="A47" s="5" t="s">
        <v>70</v>
      </c>
      <c r="B47" s="6"/>
      <c r="C47" s="6"/>
      <c r="D47" s="29"/>
      <c r="E47" s="6"/>
      <c r="F47" s="7"/>
      <c r="G47" s="7"/>
      <c r="H47" s="7"/>
      <c r="I47" s="8"/>
      <c r="J47" s="8"/>
      <c r="K47" s="8"/>
      <c r="L47" s="8"/>
      <c r="M47" s="8"/>
      <c r="N47" s="8">
        <f>SUM(N48:N57)</f>
        <v>2607.27</v>
      </c>
      <c r="P47" s="76">
        <f>N47/$N$170</f>
        <v>7.6065669003549854E-3</v>
      </c>
      <c r="Q47" s="76"/>
      <c r="T47" s="77">
        <f>U47/$N$170</f>
        <v>0</v>
      </c>
      <c r="U47" s="75">
        <f>SUM(U48:U57)</f>
        <v>0</v>
      </c>
      <c r="V47" s="77">
        <f>W47/$N$170</f>
        <v>0</v>
      </c>
      <c r="W47" s="75">
        <f>SUM(W48:W57)</f>
        <v>0</v>
      </c>
      <c r="X47" s="77">
        <f>Y47/$N$170</f>
        <v>0</v>
      </c>
      <c r="Y47" s="75">
        <f>SUM(Y48:Y57)</f>
        <v>0</v>
      </c>
      <c r="Z47" s="77">
        <f>AA47/$N$170</f>
        <v>0</v>
      </c>
      <c r="AA47" s="75">
        <f>SUM(AA48:AA57)</f>
        <v>0</v>
      </c>
      <c r="AB47" s="58">
        <f>AC47/$N$170</f>
        <v>7.6065669003549854E-3</v>
      </c>
      <c r="AC47" s="8">
        <f>SUM(AC48:AC57)</f>
        <v>2607.27</v>
      </c>
      <c r="AE47" s="71"/>
      <c r="AF47" s="78">
        <f t="shared" ref="AF47:AF57" si="30">SUM(U47,Y47,AA47,AC47)</f>
        <v>2607.27</v>
      </c>
      <c r="AG47" s="68" t="str">
        <f t="shared" ref="AG47:AG57" si="31">IF(AF47=N47,"OK","VERIFICAR")</f>
        <v>OK</v>
      </c>
    </row>
    <row r="48" spans="1:33" ht="30" outlineLevel="1" x14ac:dyDescent="0.25">
      <c r="A48" s="9" t="s">
        <v>24</v>
      </c>
      <c r="B48" s="9" t="s">
        <v>71</v>
      </c>
      <c r="C48" s="9" t="s">
        <v>263</v>
      </c>
      <c r="D48" s="10" t="s">
        <v>82</v>
      </c>
      <c r="E48" s="79" t="s">
        <v>17</v>
      </c>
      <c r="F48" s="97">
        <v>10</v>
      </c>
      <c r="G48" s="81">
        <v>43.68</v>
      </c>
      <c r="H48" s="81">
        <v>0</v>
      </c>
      <c r="I48" s="81">
        <f t="shared" ref="I48:I57" si="32">G48+H48</f>
        <v>43.68</v>
      </c>
      <c r="J48" s="81">
        <f t="shared" ref="J48:J57" si="33">TRUNC(I48*F48,2)</f>
        <v>436.8</v>
      </c>
      <c r="K48" s="86">
        <v>0.27760000000000001</v>
      </c>
      <c r="L48" s="81">
        <f t="shared" ref="L48:M57" si="34">TRUNC($F48*G48*(1+$K48),2)</f>
        <v>558.04999999999995</v>
      </c>
      <c r="M48" s="81">
        <f t="shared" si="34"/>
        <v>0</v>
      </c>
      <c r="N48" s="81">
        <f t="shared" ref="N48:N57" si="35">M48+L48</f>
        <v>558.04999999999995</v>
      </c>
      <c r="AB48" s="83">
        <v>1</v>
      </c>
      <c r="AC48" s="84">
        <f t="shared" ref="AC48:AC57" si="36">AB48*$N48</f>
        <v>558.04999999999995</v>
      </c>
      <c r="AE48" s="85">
        <f t="shared" ref="AE48:AE57" si="37">SUM(T48,X48,Z48,AB48)</f>
        <v>1</v>
      </c>
      <c r="AF48" s="78">
        <f t="shared" si="30"/>
        <v>558.04999999999995</v>
      </c>
      <c r="AG48" s="68" t="str">
        <f t="shared" si="31"/>
        <v>OK</v>
      </c>
    </row>
    <row r="49" spans="1:33" ht="30" outlineLevel="1" x14ac:dyDescent="0.25">
      <c r="A49" s="9" t="s">
        <v>24</v>
      </c>
      <c r="B49" s="9" t="s">
        <v>72</v>
      </c>
      <c r="C49" s="9" t="s">
        <v>264</v>
      </c>
      <c r="D49" s="10" t="s">
        <v>83</v>
      </c>
      <c r="E49" s="79" t="s">
        <v>17</v>
      </c>
      <c r="F49" s="97">
        <v>3</v>
      </c>
      <c r="G49" s="81">
        <v>23.34</v>
      </c>
      <c r="H49" s="81">
        <v>0</v>
      </c>
      <c r="I49" s="81">
        <f t="shared" si="32"/>
        <v>23.34</v>
      </c>
      <c r="J49" s="81">
        <f t="shared" si="33"/>
        <v>70.02</v>
      </c>
      <c r="K49" s="86">
        <v>0.27760000000000001</v>
      </c>
      <c r="L49" s="81">
        <f t="shared" si="34"/>
        <v>89.45</v>
      </c>
      <c r="M49" s="81">
        <f t="shared" si="34"/>
        <v>0</v>
      </c>
      <c r="N49" s="81">
        <f t="shared" si="35"/>
        <v>89.45</v>
      </c>
      <c r="AB49" s="83">
        <v>1</v>
      </c>
      <c r="AC49" s="84">
        <f t="shared" si="36"/>
        <v>89.45</v>
      </c>
      <c r="AE49" s="85">
        <f t="shared" si="37"/>
        <v>1</v>
      </c>
      <c r="AF49" s="78">
        <f t="shared" si="30"/>
        <v>89.45</v>
      </c>
      <c r="AG49" s="68" t="str">
        <f t="shared" si="31"/>
        <v>OK</v>
      </c>
    </row>
    <row r="50" spans="1:33" outlineLevel="1" x14ac:dyDescent="0.25">
      <c r="A50" s="9" t="s">
        <v>24</v>
      </c>
      <c r="B50" s="9" t="s">
        <v>73</v>
      </c>
      <c r="C50" s="9" t="s">
        <v>265</v>
      </c>
      <c r="D50" s="10" t="s">
        <v>85</v>
      </c>
      <c r="E50" s="79" t="s">
        <v>9</v>
      </c>
      <c r="F50" s="97">
        <v>1</v>
      </c>
      <c r="G50" s="81">
        <v>516.11</v>
      </c>
      <c r="H50" s="81">
        <v>0</v>
      </c>
      <c r="I50" s="81">
        <f t="shared" si="32"/>
        <v>516.11</v>
      </c>
      <c r="J50" s="81">
        <f t="shared" si="33"/>
        <v>516.11</v>
      </c>
      <c r="K50" s="86">
        <v>0.27760000000000001</v>
      </c>
      <c r="L50" s="81">
        <f t="shared" si="34"/>
        <v>659.38</v>
      </c>
      <c r="M50" s="81">
        <f t="shared" si="34"/>
        <v>0</v>
      </c>
      <c r="N50" s="81">
        <f t="shared" si="35"/>
        <v>659.38</v>
      </c>
      <c r="AB50" s="83">
        <v>1</v>
      </c>
      <c r="AC50" s="84">
        <f t="shared" si="36"/>
        <v>659.38</v>
      </c>
      <c r="AE50" s="85">
        <f t="shared" si="37"/>
        <v>1</v>
      </c>
      <c r="AF50" s="78">
        <f t="shared" si="30"/>
        <v>659.38</v>
      </c>
      <c r="AG50" s="68" t="str">
        <f t="shared" si="31"/>
        <v>OK</v>
      </c>
    </row>
    <row r="51" spans="1:33" ht="30" outlineLevel="1" x14ac:dyDescent="0.25">
      <c r="A51" s="9" t="s">
        <v>24</v>
      </c>
      <c r="B51" s="9" t="s">
        <v>74</v>
      </c>
      <c r="C51" s="9" t="s">
        <v>266</v>
      </c>
      <c r="D51" s="10" t="s">
        <v>86</v>
      </c>
      <c r="E51" s="79" t="s">
        <v>9</v>
      </c>
      <c r="F51" s="97">
        <v>2</v>
      </c>
      <c r="G51" s="81">
        <v>20.010000000000002</v>
      </c>
      <c r="H51" s="81">
        <v>0</v>
      </c>
      <c r="I51" s="81">
        <f t="shared" si="32"/>
        <v>20.010000000000002</v>
      </c>
      <c r="J51" s="81">
        <f t="shared" si="33"/>
        <v>40.020000000000003</v>
      </c>
      <c r="K51" s="86">
        <v>0.27760000000000001</v>
      </c>
      <c r="L51" s="81">
        <f t="shared" si="34"/>
        <v>51.12</v>
      </c>
      <c r="M51" s="81">
        <f t="shared" si="34"/>
        <v>0</v>
      </c>
      <c r="N51" s="81">
        <f t="shared" si="35"/>
        <v>51.12</v>
      </c>
      <c r="AB51" s="83">
        <v>1</v>
      </c>
      <c r="AC51" s="84">
        <f t="shared" si="36"/>
        <v>51.12</v>
      </c>
      <c r="AE51" s="85">
        <f t="shared" si="37"/>
        <v>1</v>
      </c>
      <c r="AF51" s="78">
        <f t="shared" si="30"/>
        <v>51.12</v>
      </c>
      <c r="AG51" s="68" t="str">
        <f t="shared" si="31"/>
        <v>OK</v>
      </c>
    </row>
    <row r="52" spans="1:33" ht="30" outlineLevel="1" x14ac:dyDescent="0.25">
      <c r="A52" s="9" t="s">
        <v>24</v>
      </c>
      <c r="B52" s="9" t="s">
        <v>75</v>
      </c>
      <c r="C52" s="9" t="s">
        <v>267</v>
      </c>
      <c r="D52" s="10" t="s">
        <v>88</v>
      </c>
      <c r="E52" s="79" t="s">
        <v>9</v>
      </c>
      <c r="F52" s="97">
        <f>3*2</f>
        <v>6</v>
      </c>
      <c r="G52" s="81">
        <v>21.49</v>
      </c>
      <c r="H52" s="81">
        <v>26.06</v>
      </c>
      <c r="I52" s="81">
        <f t="shared" si="32"/>
        <v>47.55</v>
      </c>
      <c r="J52" s="81">
        <f t="shared" si="33"/>
        <v>285.3</v>
      </c>
      <c r="K52" s="86">
        <v>0.27760000000000001</v>
      </c>
      <c r="L52" s="81">
        <f t="shared" si="34"/>
        <v>164.73</v>
      </c>
      <c r="M52" s="81">
        <f t="shared" si="34"/>
        <v>199.76</v>
      </c>
      <c r="N52" s="81">
        <f t="shared" si="35"/>
        <v>364.49</v>
      </c>
      <c r="AB52" s="83">
        <v>1</v>
      </c>
      <c r="AC52" s="84">
        <f t="shared" si="36"/>
        <v>364.49</v>
      </c>
      <c r="AE52" s="85">
        <f t="shared" si="37"/>
        <v>1</v>
      </c>
      <c r="AF52" s="78">
        <f t="shared" si="30"/>
        <v>364.49</v>
      </c>
      <c r="AG52" s="68" t="str">
        <f t="shared" si="31"/>
        <v>OK</v>
      </c>
    </row>
    <row r="53" spans="1:33" ht="30" outlineLevel="1" x14ac:dyDescent="0.25">
      <c r="A53" s="9" t="s">
        <v>24</v>
      </c>
      <c r="B53" s="9" t="s">
        <v>76</v>
      </c>
      <c r="C53" s="9" t="s">
        <v>268</v>
      </c>
      <c r="D53" s="10" t="s">
        <v>89</v>
      </c>
      <c r="E53" s="79" t="s">
        <v>9</v>
      </c>
      <c r="F53" s="97">
        <v>2</v>
      </c>
      <c r="G53" s="81">
        <v>9.5500000000000007</v>
      </c>
      <c r="H53" s="81">
        <v>8.51</v>
      </c>
      <c r="I53" s="81">
        <f t="shared" si="32"/>
        <v>18.060000000000002</v>
      </c>
      <c r="J53" s="81">
        <f t="shared" si="33"/>
        <v>36.119999999999997</v>
      </c>
      <c r="K53" s="86">
        <v>0.27760000000000001</v>
      </c>
      <c r="L53" s="81">
        <f t="shared" si="34"/>
        <v>24.4</v>
      </c>
      <c r="M53" s="81">
        <f t="shared" si="34"/>
        <v>21.74</v>
      </c>
      <c r="N53" s="81">
        <f t="shared" si="35"/>
        <v>46.14</v>
      </c>
      <c r="AB53" s="83">
        <v>1</v>
      </c>
      <c r="AC53" s="84">
        <f t="shared" si="36"/>
        <v>46.14</v>
      </c>
      <c r="AE53" s="85">
        <f t="shared" si="37"/>
        <v>1</v>
      </c>
      <c r="AF53" s="78">
        <f t="shared" si="30"/>
        <v>46.14</v>
      </c>
      <c r="AG53" s="68" t="str">
        <f t="shared" si="31"/>
        <v>OK</v>
      </c>
    </row>
    <row r="54" spans="1:33" ht="30" outlineLevel="1" x14ac:dyDescent="0.25">
      <c r="A54" s="9" t="s">
        <v>24</v>
      </c>
      <c r="B54" s="9" t="s">
        <v>77</v>
      </c>
      <c r="C54" s="9" t="s">
        <v>269</v>
      </c>
      <c r="D54" s="95" t="s">
        <v>90</v>
      </c>
      <c r="E54" s="79" t="s">
        <v>9</v>
      </c>
      <c r="F54" s="97">
        <v>1</v>
      </c>
      <c r="G54" s="81">
        <f>2.94+189.31+0.49</f>
        <v>192.74</v>
      </c>
      <c r="H54" s="81">
        <v>157.04</v>
      </c>
      <c r="I54" s="81">
        <f t="shared" si="32"/>
        <v>349.78</v>
      </c>
      <c r="J54" s="81">
        <f t="shared" si="33"/>
        <v>349.78</v>
      </c>
      <c r="K54" s="86">
        <v>0.27760000000000001</v>
      </c>
      <c r="L54" s="81">
        <f t="shared" si="34"/>
        <v>246.24</v>
      </c>
      <c r="M54" s="81">
        <f t="shared" si="34"/>
        <v>200.63</v>
      </c>
      <c r="N54" s="81">
        <f t="shared" si="35"/>
        <v>446.87</v>
      </c>
      <c r="AB54" s="83">
        <v>1</v>
      </c>
      <c r="AC54" s="84">
        <f t="shared" si="36"/>
        <v>446.87</v>
      </c>
      <c r="AE54" s="85">
        <f t="shared" si="37"/>
        <v>1</v>
      </c>
      <c r="AF54" s="78">
        <f t="shared" si="30"/>
        <v>446.87</v>
      </c>
      <c r="AG54" s="68" t="str">
        <f t="shared" si="31"/>
        <v>OK</v>
      </c>
    </row>
    <row r="55" spans="1:33" ht="30" outlineLevel="1" x14ac:dyDescent="0.25">
      <c r="A55" s="9" t="s">
        <v>24</v>
      </c>
      <c r="B55" s="9" t="s">
        <v>78</v>
      </c>
      <c r="C55" s="9" t="s">
        <v>270</v>
      </c>
      <c r="D55" s="10" t="s">
        <v>91</v>
      </c>
      <c r="E55" s="79" t="s">
        <v>17</v>
      </c>
      <c r="F55" s="97">
        <v>2</v>
      </c>
      <c r="G55" s="81">
        <v>14.8</v>
      </c>
      <c r="H55" s="81">
        <v>17.02</v>
      </c>
      <c r="I55" s="81">
        <f t="shared" si="32"/>
        <v>31.82</v>
      </c>
      <c r="J55" s="81">
        <f t="shared" si="33"/>
        <v>63.64</v>
      </c>
      <c r="K55" s="86">
        <v>0.27760000000000001</v>
      </c>
      <c r="L55" s="81">
        <f t="shared" si="34"/>
        <v>37.81</v>
      </c>
      <c r="M55" s="81">
        <f t="shared" si="34"/>
        <v>43.48</v>
      </c>
      <c r="N55" s="81">
        <f t="shared" si="35"/>
        <v>81.289999999999992</v>
      </c>
      <c r="AB55" s="83">
        <v>1</v>
      </c>
      <c r="AC55" s="84">
        <f t="shared" si="36"/>
        <v>81.289999999999992</v>
      </c>
      <c r="AE55" s="85">
        <f t="shared" si="37"/>
        <v>1</v>
      </c>
      <c r="AF55" s="78">
        <f t="shared" si="30"/>
        <v>81.289999999999992</v>
      </c>
      <c r="AG55" s="68" t="str">
        <f t="shared" si="31"/>
        <v>OK</v>
      </c>
    </row>
    <row r="56" spans="1:33" ht="30" outlineLevel="1" x14ac:dyDescent="0.25">
      <c r="A56" s="9" t="s">
        <v>24</v>
      </c>
      <c r="B56" s="9" t="s">
        <v>79</v>
      </c>
      <c r="C56" s="9" t="s">
        <v>257</v>
      </c>
      <c r="D56" s="10" t="s">
        <v>261</v>
      </c>
      <c r="E56" s="9" t="s">
        <v>69</v>
      </c>
      <c r="F56" s="87">
        <v>8</v>
      </c>
      <c r="G56" s="81">
        <v>4.5599999999999996</v>
      </c>
      <c r="H56" s="81">
        <v>12.49</v>
      </c>
      <c r="I56" s="81">
        <f t="shared" si="32"/>
        <v>17.05</v>
      </c>
      <c r="J56" s="81">
        <f t="shared" si="33"/>
        <v>136.4</v>
      </c>
      <c r="K56" s="86">
        <v>0.27760000000000001</v>
      </c>
      <c r="L56" s="81">
        <f t="shared" si="34"/>
        <v>46.6</v>
      </c>
      <c r="M56" s="81">
        <f t="shared" si="34"/>
        <v>127.65</v>
      </c>
      <c r="N56" s="81">
        <f t="shared" si="35"/>
        <v>174.25</v>
      </c>
      <c r="AB56" s="83">
        <v>1</v>
      </c>
      <c r="AC56" s="84">
        <f t="shared" si="36"/>
        <v>174.25</v>
      </c>
      <c r="AE56" s="85">
        <f t="shared" si="37"/>
        <v>1</v>
      </c>
      <c r="AF56" s="78">
        <f t="shared" si="30"/>
        <v>174.25</v>
      </c>
      <c r="AG56" s="68" t="str">
        <f t="shared" si="31"/>
        <v>OK</v>
      </c>
    </row>
    <row r="57" spans="1:33" outlineLevel="1" x14ac:dyDescent="0.25">
      <c r="A57" s="9" t="s">
        <v>24</v>
      </c>
      <c r="B57" s="9" t="s">
        <v>80</v>
      </c>
      <c r="C57" s="9" t="s">
        <v>271</v>
      </c>
      <c r="D57" s="10" t="s">
        <v>87</v>
      </c>
      <c r="E57" s="79" t="s">
        <v>69</v>
      </c>
      <c r="F57" s="97">
        <v>8</v>
      </c>
      <c r="G57" s="81">
        <v>4.5599999999999996</v>
      </c>
      <c r="H57" s="81">
        <v>8.77</v>
      </c>
      <c r="I57" s="81">
        <f t="shared" si="32"/>
        <v>13.329999999999998</v>
      </c>
      <c r="J57" s="81">
        <f t="shared" si="33"/>
        <v>106.64</v>
      </c>
      <c r="K57" s="86">
        <v>0.27760000000000001</v>
      </c>
      <c r="L57" s="81">
        <f t="shared" si="34"/>
        <v>46.6</v>
      </c>
      <c r="M57" s="81">
        <f t="shared" si="34"/>
        <v>89.63</v>
      </c>
      <c r="N57" s="81">
        <f t="shared" si="35"/>
        <v>136.22999999999999</v>
      </c>
      <c r="AB57" s="83">
        <v>1</v>
      </c>
      <c r="AC57" s="84">
        <f t="shared" si="36"/>
        <v>136.22999999999999</v>
      </c>
      <c r="AE57" s="85">
        <f t="shared" si="37"/>
        <v>1</v>
      </c>
      <c r="AF57" s="78">
        <f t="shared" si="30"/>
        <v>136.22999999999999</v>
      </c>
      <c r="AG57" s="68" t="str">
        <f t="shared" si="31"/>
        <v>OK</v>
      </c>
    </row>
    <row r="58" spans="1:33" x14ac:dyDescent="0.25">
      <c r="D58" s="93"/>
    </row>
    <row r="59" spans="1:33" x14ac:dyDescent="0.25">
      <c r="A59" s="5" t="s">
        <v>92</v>
      </c>
      <c r="B59" s="6"/>
      <c r="C59" s="6"/>
      <c r="D59" s="29"/>
      <c r="E59" s="6"/>
      <c r="F59" s="7"/>
      <c r="G59" s="7"/>
      <c r="H59" s="7"/>
      <c r="I59" s="8"/>
      <c r="J59" s="8"/>
      <c r="K59" s="8"/>
      <c r="L59" s="8"/>
      <c r="M59" s="8"/>
      <c r="N59" s="8">
        <f>SUM(N60:N78)</f>
        <v>8947.16</v>
      </c>
      <c r="P59" s="76">
        <f>N59/$N$170</f>
        <v>2.6102847464274933E-2</v>
      </c>
      <c r="Q59" s="76"/>
      <c r="T59" s="77">
        <f>U59/$N$170</f>
        <v>0</v>
      </c>
      <c r="U59" s="75">
        <f>SUM(U60:U78)</f>
        <v>0</v>
      </c>
      <c r="V59" s="77">
        <f>W59/$N$170</f>
        <v>0</v>
      </c>
      <c r="W59" s="75">
        <f>SUM(W60:W78)</f>
        <v>0</v>
      </c>
      <c r="X59" s="77">
        <f>Y59/$N$170</f>
        <v>0</v>
      </c>
      <c r="Y59" s="75">
        <f>SUM(Y60:Y78)</f>
        <v>0</v>
      </c>
      <c r="Z59" s="58">
        <f>AA59/$N$170</f>
        <v>6.5257118660687332E-3</v>
      </c>
      <c r="AA59" s="8">
        <f>SUM(AA60:AA78)</f>
        <v>2236.79</v>
      </c>
      <c r="AB59" s="58">
        <f>AC59/$N$170</f>
        <v>1.9577135598206202E-2</v>
      </c>
      <c r="AC59" s="8">
        <f>SUM(AC60:AC78)</f>
        <v>6710.3700000000008</v>
      </c>
      <c r="AE59" s="71"/>
      <c r="AF59" s="78">
        <f t="shared" ref="AF59:AF78" si="38">SUM(U59,Y59,AA59,AC59)</f>
        <v>8947.16</v>
      </c>
      <c r="AG59" s="68" t="str">
        <f t="shared" ref="AG59:AG78" si="39">IF(AF59=N59,"OK","VERIFICAR")</f>
        <v>OK</v>
      </c>
    </row>
    <row r="60" spans="1:33" outlineLevel="1" x14ac:dyDescent="0.25">
      <c r="A60" s="9" t="s">
        <v>24</v>
      </c>
      <c r="B60" s="9" t="s">
        <v>93</v>
      </c>
      <c r="C60" s="9" t="s">
        <v>265</v>
      </c>
      <c r="D60" s="10" t="s">
        <v>85</v>
      </c>
      <c r="E60" s="79" t="s">
        <v>9</v>
      </c>
      <c r="F60" s="97">
        <v>1</v>
      </c>
      <c r="G60" s="81">
        <v>516.11</v>
      </c>
      <c r="H60" s="81">
        <v>0</v>
      </c>
      <c r="I60" s="81">
        <f t="shared" ref="I60:I78" si="40">G60+H60</f>
        <v>516.11</v>
      </c>
      <c r="J60" s="81">
        <f t="shared" ref="J60:J78" si="41">TRUNC(I60*F60,2)</f>
        <v>516.11</v>
      </c>
      <c r="K60" s="86">
        <v>0.27760000000000001</v>
      </c>
      <c r="L60" s="81">
        <f t="shared" ref="L60:M75" si="42">TRUNC($F60*G60*(1+$K60),2)</f>
        <v>659.38</v>
      </c>
      <c r="M60" s="81">
        <f t="shared" si="42"/>
        <v>0</v>
      </c>
      <c r="N60" s="81">
        <f t="shared" ref="N60:N78" si="43">M60+L60</f>
        <v>659.38</v>
      </c>
      <c r="Z60" s="83">
        <v>0.25</v>
      </c>
      <c r="AA60" s="84">
        <f t="shared" ref="AA60:AA78" si="44">Z60*$N60</f>
        <v>164.845</v>
      </c>
      <c r="AB60" s="83">
        <v>0.75</v>
      </c>
      <c r="AC60" s="84">
        <f t="shared" ref="AC60:AC78" si="45">AB60*$N60</f>
        <v>494.53499999999997</v>
      </c>
      <c r="AE60" s="85">
        <f t="shared" ref="AE60:AE78" si="46">SUM(T60,X60,Z60,AB60)</f>
        <v>1</v>
      </c>
      <c r="AF60" s="78">
        <f t="shared" si="38"/>
        <v>659.38</v>
      </c>
      <c r="AG60" s="68" t="str">
        <f t="shared" si="39"/>
        <v>OK</v>
      </c>
    </row>
    <row r="61" spans="1:33" ht="30" outlineLevel="1" x14ac:dyDescent="0.25">
      <c r="A61" s="9" t="s">
        <v>24</v>
      </c>
      <c r="B61" s="9" t="s">
        <v>94</v>
      </c>
      <c r="C61" s="9" t="s">
        <v>272</v>
      </c>
      <c r="D61" s="10" t="s">
        <v>95</v>
      </c>
      <c r="E61" s="79" t="s">
        <v>9</v>
      </c>
      <c r="F61" s="97">
        <v>1</v>
      </c>
      <c r="G61" s="81">
        <v>107.32</v>
      </c>
      <c r="H61" s="81">
        <v>8.49</v>
      </c>
      <c r="I61" s="81">
        <f t="shared" si="40"/>
        <v>115.80999999999999</v>
      </c>
      <c r="J61" s="81">
        <f t="shared" si="41"/>
        <v>115.81</v>
      </c>
      <c r="K61" s="86">
        <v>0.27760000000000001</v>
      </c>
      <c r="L61" s="81">
        <f t="shared" si="42"/>
        <v>137.11000000000001</v>
      </c>
      <c r="M61" s="81">
        <f t="shared" si="42"/>
        <v>10.84</v>
      </c>
      <c r="N61" s="81">
        <f t="shared" si="43"/>
        <v>147.95000000000002</v>
      </c>
      <c r="Z61" s="83">
        <v>0.25</v>
      </c>
      <c r="AA61" s="84">
        <f t="shared" si="44"/>
        <v>36.987500000000004</v>
      </c>
      <c r="AB61" s="83">
        <v>0.75</v>
      </c>
      <c r="AC61" s="84">
        <f t="shared" si="45"/>
        <v>110.96250000000001</v>
      </c>
      <c r="AE61" s="85">
        <f t="shared" si="46"/>
        <v>1</v>
      </c>
      <c r="AF61" s="78">
        <f t="shared" si="38"/>
        <v>147.95000000000002</v>
      </c>
      <c r="AG61" s="68" t="str">
        <f t="shared" si="39"/>
        <v>OK</v>
      </c>
    </row>
    <row r="62" spans="1:33" ht="30" outlineLevel="1" x14ac:dyDescent="0.25">
      <c r="A62" s="9" t="s">
        <v>24</v>
      </c>
      <c r="B62" s="9" t="s">
        <v>96</v>
      </c>
      <c r="C62" s="9" t="s">
        <v>273</v>
      </c>
      <c r="D62" s="10" t="s">
        <v>97</v>
      </c>
      <c r="E62" s="79" t="s">
        <v>9</v>
      </c>
      <c r="F62" s="97">
        <v>3</v>
      </c>
      <c r="G62" s="81">
        <v>77.319999999999993</v>
      </c>
      <c r="H62" s="81">
        <v>8.49</v>
      </c>
      <c r="I62" s="81">
        <f t="shared" si="40"/>
        <v>85.809999999999988</v>
      </c>
      <c r="J62" s="81">
        <f t="shared" si="41"/>
        <v>257.43</v>
      </c>
      <c r="K62" s="86">
        <v>0.27760000000000001</v>
      </c>
      <c r="L62" s="81">
        <f t="shared" si="42"/>
        <v>296.35000000000002</v>
      </c>
      <c r="M62" s="81">
        <f t="shared" si="42"/>
        <v>32.54</v>
      </c>
      <c r="N62" s="81">
        <f t="shared" si="43"/>
        <v>328.89000000000004</v>
      </c>
      <c r="Z62" s="83">
        <v>0.25</v>
      </c>
      <c r="AA62" s="84">
        <f t="shared" si="44"/>
        <v>82.222500000000011</v>
      </c>
      <c r="AB62" s="83">
        <v>0.75</v>
      </c>
      <c r="AC62" s="84">
        <f t="shared" si="45"/>
        <v>246.66750000000002</v>
      </c>
      <c r="AE62" s="85">
        <f t="shared" si="46"/>
        <v>1</v>
      </c>
      <c r="AF62" s="78">
        <f t="shared" si="38"/>
        <v>328.89000000000004</v>
      </c>
      <c r="AG62" s="68" t="str">
        <f t="shared" si="39"/>
        <v>OK</v>
      </c>
    </row>
    <row r="63" spans="1:33" ht="30" outlineLevel="1" x14ac:dyDescent="0.25">
      <c r="A63" s="9" t="s">
        <v>24</v>
      </c>
      <c r="B63" s="9" t="s">
        <v>98</v>
      </c>
      <c r="C63" s="9" t="s">
        <v>274</v>
      </c>
      <c r="D63" s="10" t="s">
        <v>99</v>
      </c>
      <c r="E63" s="79" t="s">
        <v>9</v>
      </c>
      <c r="F63" s="97">
        <v>1</v>
      </c>
      <c r="G63" s="81">
        <v>59.67</v>
      </c>
      <c r="H63" s="81">
        <v>1.86</v>
      </c>
      <c r="I63" s="81">
        <f t="shared" si="40"/>
        <v>61.53</v>
      </c>
      <c r="J63" s="81">
        <f t="shared" si="41"/>
        <v>61.53</v>
      </c>
      <c r="K63" s="86">
        <v>0.27760000000000001</v>
      </c>
      <c r="L63" s="81">
        <f t="shared" si="42"/>
        <v>76.23</v>
      </c>
      <c r="M63" s="81">
        <f t="shared" si="42"/>
        <v>2.37</v>
      </c>
      <c r="N63" s="81">
        <f t="shared" si="43"/>
        <v>78.600000000000009</v>
      </c>
      <c r="Z63" s="83">
        <v>0.25</v>
      </c>
      <c r="AA63" s="84">
        <f t="shared" si="44"/>
        <v>19.650000000000002</v>
      </c>
      <c r="AB63" s="83">
        <v>0.75</v>
      </c>
      <c r="AC63" s="84">
        <f t="shared" si="45"/>
        <v>58.95</v>
      </c>
      <c r="AE63" s="85">
        <f t="shared" si="46"/>
        <v>1</v>
      </c>
      <c r="AF63" s="78">
        <f t="shared" si="38"/>
        <v>78.600000000000009</v>
      </c>
      <c r="AG63" s="68" t="str">
        <f t="shared" si="39"/>
        <v>OK</v>
      </c>
    </row>
    <row r="64" spans="1:33" ht="30" outlineLevel="1" x14ac:dyDescent="0.25">
      <c r="A64" s="9" t="s">
        <v>24</v>
      </c>
      <c r="B64" s="9" t="s">
        <v>100</v>
      </c>
      <c r="C64" s="9" t="s">
        <v>275</v>
      </c>
      <c r="D64" s="10" t="s">
        <v>88</v>
      </c>
      <c r="E64" s="79" t="s">
        <v>9</v>
      </c>
      <c r="F64" s="97">
        <v>3</v>
      </c>
      <c r="G64" s="81">
        <v>10.74</v>
      </c>
      <c r="H64" s="81">
        <v>0</v>
      </c>
      <c r="I64" s="81">
        <f t="shared" si="40"/>
        <v>10.74</v>
      </c>
      <c r="J64" s="81">
        <f t="shared" si="41"/>
        <v>32.22</v>
      </c>
      <c r="K64" s="86">
        <v>0.27760000000000001</v>
      </c>
      <c r="L64" s="81">
        <f t="shared" si="42"/>
        <v>41.16</v>
      </c>
      <c r="M64" s="81">
        <f t="shared" si="42"/>
        <v>0</v>
      </c>
      <c r="N64" s="81">
        <f t="shared" si="43"/>
        <v>41.16</v>
      </c>
      <c r="Z64" s="83">
        <v>0.25</v>
      </c>
      <c r="AA64" s="84">
        <f t="shared" si="44"/>
        <v>10.29</v>
      </c>
      <c r="AB64" s="83">
        <v>0.75</v>
      </c>
      <c r="AC64" s="84">
        <f t="shared" si="45"/>
        <v>30.869999999999997</v>
      </c>
      <c r="AE64" s="85">
        <f t="shared" si="46"/>
        <v>1</v>
      </c>
      <c r="AF64" s="78">
        <f t="shared" si="38"/>
        <v>41.16</v>
      </c>
      <c r="AG64" s="68" t="str">
        <f t="shared" si="39"/>
        <v>OK</v>
      </c>
    </row>
    <row r="65" spans="1:33" ht="30" outlineLevel="1" x14ac:dyDescent="0.25">
      <c r="A65" s="9" t="s">
        <v>24</v>
      </c>
      <c r="B65" s="9" t="s">
        <v>101</v>
      </c>
      <c r="C65" s="9" t="s">
        <v>276</v>
      </c>
      <c r="D65" s="10" t="s">
        <v>102</v>
      </c>
      <c r="E65" s="79" t="s">
        <v>9</v>
      </c>
      <c r="F65" s="97">
        <v>6</v>
      </c>
      <c r="G65" s="81">
        <v>6.1</v>
      </c>
      <c r="H65" s="81">
        <v>0</v>
      </c>
      <c r="I65" s="81">
        <f t="shared" si="40"/>
        <v>6.1</v>
      </c>
      <c r="J65" s="81">
        <f t="shared" si="41"/>
        <v>36.6</v>
      </c>
      <c r="K65" s="86">
        <v>0.27760000000000001</v>
      </c>
      <c r="L65" s="81">
        <f t="shared" si="42"/>
        <v>46.76</v>
      </c>
      <c r="M65" s="81">
        <f t="shared" si="42"/>
        <v>0</v>
      </c>
      <c r="N65" s="81">
        <f t="shared" si="43"/>
        <v>46.76</v>
      </c>
      <c r="Z65" s="83">
        <v>0.25</v>
      </c>
      <c r="AA65" s="84">
        <f t="shared" si="44"/>
        <v>11.69</v>
      </c>
      <c r="AB65" s="83">
        <v>0.75</v>
      </c>
      <c r="AC65" s="84">
        <f t="shared" si="45"/>
        <v>35.07</v>
      </c>
      <c r="AE65" s="85">
        <f t="shared" si="46"/>
        <v>1</v>
      </c>
      <c r="AF65" s="78">
        <f t="shared" si="38"/>
        <v>46.76</v>
      </c>
      <c r="AG65" s="68" t="str">
        <f t="shared" si="39"/>
        <v>OK</v>
      </c>
    </row>
    <row r="66" spans="1:33" ht="30" outlineLevel="1" x14ac:dyDescent="0.25">
      <c r="A66" s="9" t="s">
        <v>24</v>
      </c>
      <c r="B66" s="9" t="s">
        <v>103</v>
      </c>
      <c r="C66" s="9" t="s">
        <v>268</v>
      </c>
      <c r="D66" s="10" t="s">
        <v>89</v>
      </c>
      <c r="E66" s="79" t="s">
        <v>9</v>
      </c>
      <c r="F66" s="97">
        <v>4</v>
      </c>
      <c r="G66" s="81">
        <v>9.5500000000000007</v>
      </c>
      <c r="H66" s="81">
        <v>8.51</v>
      </c>
      <c r="I66" s="81">
        <f t="shared" si="40"/>
        <v>18.060000000000002</v>
      </c>
      <c r="J66" s="81">
        <f t="shared" si="41"/>
        <v>72.239999999999995</v>
      </c>
      <c r="K66" s="86">
        <v>0.27760000000000001</v>
      </c>
      <c r="L66" s="81">
        <f t="shared" si="42"/>
        <v>48.8</v>
      </c>
      <c r="M66" s="81">
        <f t="shared" si="42"/>
        <v>43.48</v>
      </c>
      <c r="N66" s="81">
        <f t="shared" si="43"/>
        <v>92.28</v>
      </c>
      <c r="Z66" s="83">
        <v>0.25</v>
      </c>
      <c r="AA66" s="84">
        <f t="shared" si="44"/>
        <v>23.07</v>
      </c>
      <c r="AB66" s="83">
        <v>0.75</v>
      </c>
      <c r="AC66" s="84">
        <f t="shared" si="45"/>
        <v>69.210000000000008</v>
      </c>
      <c r="AE66" s="85">
        <f t="shared" si="46"/>
        <v>1</v>
      </c>
      <c r="AF66" s="78">
        <f t="shared" si="38"/>
        <v>92.28</v>
      </c>
      <c r="AG66" s="68" t="str">
        <f t="shared" si="39"/>
        <v>OK</v>
      </c>
    </row>
    <row r="67" spans="1:33" ht="30" outlineLevel="1" x14ac:dyDescent="0.25">
      <c r="A67" s="9" t="s">
        <v>24</v>
      </c>
      <c r="B67" s="9" t="s">
        <v>104</v>
      </c>
      <c r="C67" s="9" t="s">
        <v>277</v>
      </c>
      <c r="D67" s="10" t="s">
        <v>105</v>
      </c>
      <c r="E67" s="79" t="s">
        <v>9</v>
      </c>
      <c r="F67" s="80">
        <v>15</v>
      </c>
      <c r="G67" s="81">
        <v>3.41</v>
      </c>
      <c r="H67" s="81">
        <v>0</v>
      </c>
      <c r="I67" s="81">
        <f t="shared" si="40"/>
        <v>3.41</v>
      </c>
      <c r="J67" s="81">
        <f t="shared" si="41"/>
        <v>51.15</v>
      </c>
      <c r="K67" s="86">
        <v>0.27760000000000001</v>
      </c>
      <c r="L67" s="81">
        <f t="shared" si="42"/>
        <v>65.34</v>
      </c>
      <c r="M67" s="81">
        <f t="shared" si="42"/>
        <v>0</v>
      </c>
      <c r="N67" s="81">
        <f t="shared" si="43"/>
        <v>65.34</v>
      </c>
      <c r="Z67" s="83">
        <v>0.25</v>
      </c>
      <c r="AA67" s="84">
        <f t="shared" si="44"/>
        <v>16.335000000000001</v>
      </c>
      <c r="AB67" s="83">
        <v>0.75</v>
      </c>
      <c r="AC67" s="84">
        <f t="shared" si="45"/>
        <v>49.005000000000003</v>
      </c>
      <c r="AE67" s="85">
        <f t="shared" si="46"/>
        <v>1</v>
      </c>
      <c r="AF67" s="78">
        <f t="shared" si="38"/>
        <v>65.34</v>
      </c>
      <c r="AG67" s="68" t="str">
        <f t="shared" si="39"/>
        <v>OK</v>
      </c>
    </row>
    <row r="68" spans="1:33" ht="30" outlineLevel="1" x14ac:dyDescent="0.25">
      <c r="A68" s="9" t="s">
        <v>24</v>
      </c>
      <c r="B68" s="9" t="s">
        <v>106</v>
      </c>
      <c r="C68" s="9" t="s">
        <v>278</v>
      </c>
      <c r="D68" s="10" t="s">
        <v>107</v>
      </c>
      <c r="E68" s="79" t="s">
        <v>17</v>
      </c>
      <c r="F68" s="97">
        <v>45</v>
      </c>
      <c r="G68" s="81">
        <v>45.8</v>
      </c>
      <c r="H68" s="81">
        <v>2.71</v>
      </c>
      <c r="I68" s="81">
        <f t="shared" si="40"/>
        <v>48.51</v>
      </c>
      <c r="J68" s="81">
        <f t="shared" si="41"/>
        <v>2182.9499999999998</v>
      </c>
      <c r="K68" s="86">
        <v>0.27760000000000001</v>
      </c>
      <c r="L68" s="81">
        <f t="shared" si="42"/>
        <v>2633.13</v>
      </c>
      <c r="M68" s="81">
        <f t="shared" si="42"/>
        <v>155.80000000000001</v>
      </c>
      <c r="N68" s="81">
        <f t="shared" si="43"/>
        <v>2788.9300000000003</v>
      </c>
      <c r="Z68" s="83">
        <v>0.25</v>
      </c>
      <c r="AA68" s="84">
        <f t="shared" si="44"/>
        <v>697.23250000000007</v>
      </c>
      <c r="AB68" s="83">
        <v>0.75</v>
      </c>
      <c r="AC68" s="84">
        <f t="shared" si="45"/>
        <v>2091.6975000000002</v>
      </c>
      <c r="AE68" s="85">
        <f t="shared" si="46"/>
        <v>1</v>
      </c>
      <c r="AF68" s="78">
        <f t="shared" si="38"/>
        <v>2788.9300000000003</v>
      </c>
      <c r="AG68" s="68" t="str">
        <f t="shared" si="39"/>
        <v>OK</v>
      </c>
    </row>
    <row r="69" spans="1:33" ht="30" outlineLevel="1" x14ac:dyDescent="0.25">
      <c r="A69" s="9" t="s">
        <v>24</v>
      </c>
      <c r="B69" s="9" t="s">
        <v>108</v>
      </c>
      <c r="C69" s="9" t="s">
        <v>279</v>
      </c>
      <c r="D69" s="10" t="s">
        <v>109</v>
      </c>
      <c r="E69" s="79" t="s">
        <v>17</v>
      </c>
      <c r="F69" s="97">
        <v>15</v>
      </c>
      <c r="G69" s="81">
        <v>34.57</v>
      </c>
      <c r="H69" s="81">
        <v>2.21</v>
      </c>
      <c r="I69" s="81">
        <f t="shared" si="40"/>
        <v>36.78</v>
      </c>
      <c r="J69" s="81">
        <f t="shared" si="41"/>
        <v>551.70000000000005</v>
      </c>
      <c r="K69" s="86">
        <v>0.27760000000000001</v>
      </c>
      <c r="L69" s="81">
        <f t="shared" si="42"/>
        <v>662.49</v>
      </c>
      <c r="M69" s="81">
        <f t="shared" si="42"/>
        <v>42.35</v>
      </c>
      <c r="N69" s="81">
        <f t="shared" si="43"/>
        <v>704.84</v>
      </c>
      <c r="Z69" s="83">
        <v>0.25</v>
      </c>
      <c r="AA69" s="84">
        <f t="shared" si="44"/>
        <v>176.21</v>
      </c>
      <c r="AB69" s="83">
        <v>0.75</v>
      </c>
      <c r="AC69" s="84">
        <f t="shared" si="45"/>
        <v>528.63</v>
      </c>
      <c r="AE69" s="85">
        <f t="shared" si="46"/>
        <v>1</v>
      </c>
      <c r="AF69" s="78">
        <f t="shared" si="38"/>
        <v>704.84</v>
      </c>
      <c r="AG69" s="68" t="str">
        <f t="shared" si="39"/>
        <v>OK</v>
      </c>
    </row>
    <row r="70" spans="1:33" ht="30" outlineLevel="1" x14ac:dyDescent="0.25">
      <c r="A70" s="9" t="s">
        <v>24</v>
      </c>
      <c r="B70" s="9" t="s">
        <v>110</v>
      </c>
      <c r="C70" s="9" t="s">
        <v>280</v>
      </c>
      <c r="D70" s="10" t="s">
        <v>111</v>
      </c>
      <c r="E70" s="79" t="s">
        <v>17</v>
      </c>
      <c r="F70" s="97">
        <v>15</v>
      </c>
      <c r="G70" s="81">
        <v>25.05</v>
      </c>
      <c r="H70" s="81">
        <v>1.84</v>
      </c>
      <c r="I70" s="81">
        <f t="shared" si="40"/>
        <v>26.89</v>
      </c>
      <c r="J70" s="81">
        <f t="shared" si="41"/>
        <v>403.35</v>
      </c>
      <c r="K70" s="86">
        <v>0.27760000000000001</v>
      </c>
      <c r="L70" s="81">
        <f t="shared" si="42"/>
        <v>480.05</v>
      </c>
      <c r="M70" s="81">
        <f t="shared" si="42"/>
        <v>35.26</v>
      </c>
      <c r="N70" s="81">
        <f t="shared" si="43"/>
        <v>515.31000000000006</v>
      </c>
      <c r="Z70" s="83">
        <v>0.25</v>
      </c>
      <c r="AA70" s="84">
        <f t="shared" si="44"/>
        <v>128.82750000000001</v>
      </c>
      <c r="AB70" s="83">
        <v>0.75</v>
      </c>
      <c r="AC70" s="84">
        <f t="shared" si="45"/>
        <v>386.48250000000007</v>
      </c>
      <c r="AE70" s="85">
        <f t="shared" si="46"/>
        <v>1</v>
      </c>
      <c r="AF70" s="78">
        <f t="shared" si="38"/>
        <v>515.31000000000006</v>
      </c>
      <c r="AG70" s="68" t="str">
        <f t="shared" si="39"/>
        <v>OK</v>
      </c>
    </row>
    <row r="71" spans="1:33" ht="30" outlineLevel="1" x14ac:dyDescent="0.25">
      <c r="A71" s="9" t="s">
        <v>24</v>
      </c>
      <c r="B71" s="9" t="s">
        <v>112</v>
      </c>
      <c r="C71" s="9" t="s">
        <v>269</v>
      </c>
      <c r="D71" s="95" t="s">
        <v>90</v>
      </c>
      <c r="E71" s="79" t="s">
        <v>9</v>
      </c>
      <c r="F71" s="80">
        <v>1</v>
      </c>
      <c r="G71" s="81">
        <f>2.94+189.31+0.49</f>
        <v>192.74</v>
      </c>
      <c r="H71" s="81">
        <v>157.04</v>
      </c>
      <c r="I71" s="81">
        <f t="shared" si="40"/>
        <v>349.78</v>
      </c>
      <c r="J71" s="81">
        <f t="shared" si="41"/>
        <v>349.78</v>
      </c>
      <c r="K71" s="86">
        <v>0.27760000000000001</v>
      </c>
      <c r="L71" s="81">
        <f t="shared" si="42"/>
        <v>246.24</v>
      </c>
      <c r="M71" s="81">
        <f t="shared" si="42"/>
        <v>200.63</v>
      </c>
      <c r="N71" s="81">
        <f t="shared" si="43"/>
        <v>446.87</v>
      </c>
      <c r="Z71" s="83">
        <v>0.25</v>
      </c>
      <c r="AA71" s="84">
        <f t="shared" si="44"/>
        <v>111.7175</v>
      </c>
      <c r="AB71" s="83">
        <v>0.75</v>
      </c>
      <c r="AC71" s="84">
        <f t="shared" si="45"/>
        <v>335.15250000000003</v>
      </c>
      <c r="AE71" s="85">
        <f t="shared" si="46"/>
        <v>1</v>
      </c>
      <c r="AF71" s="78">
        <f t="shared" si="38"/>
        <v>446.87</v>
      </c>
      <c r="AG71" s="68" t="str">
        <f t="shared" si="39"/>
        <v>OK</v>
      </c>
    </row>
    <row r="72" spans="1:33" outlineLevel="1" x14ac:dyDescent="0.25">
      <c r="A72" s="9" t="s">
        <v>6</v>
      </c>
      <c r="B72" s="9" t="s">
        <v>113</v>
      </c>
      <c r="C72" s="9" t="s">
        <v>8</v>
      </c>
      <c r="D72" s="10" t="s">
        <v>114</v>
      </c>
      <c r="E72" s="79" t="s">
        <v>17</v>
      </c>
      <c r="F72" s="97">
        <v>7</v>
      </c>
      <c r="G72" s="81">
        <f>COTACOES!M10</f>
        <v>64.569999999999993</v>
      </c>
      <c r="H72" s="81">
        <v>0</v>
      </c>
      <c r="I72" s="81">
        <f t="shared" si="40"/>
        <v>64.569999999999993</v>
      </c>
      <c r="J72" s="81">
        <f t="shared" si="41"/>
        <v>451.99</v>
      </c>
      <c r="K72" s="86">
        <v>0.27760000000000001</v>
      </c>
      <c r="L72" s="81">
        <f t="shared" si="42"/>
        <v>577.46</v>
      </c>
      <c r="M72" s="81">
        <f t="shared" si="42"/>
        <v>0</v>
      </c>
      <c r="N72" s="81">
        <f t="shared" si="43"/>
        <v>577.46</v>
      </c>
      <c r="Z72" s="83">
        <v>0.25</v>
      </c>
      <c r="AA72" s="84">
        <f t="shared" si="44"/>
        <v>144.36500000000001</v>
      </c>
      <c r="AB72" s="83">
        <v>0.75</v>
      </c>
      <c r="AC72" s="84">
        <f t="shared" si="45"/>
        <v>433.09500000000003</v>
      </c>
      <c r="AE72" s="85">
        <f t="shared" si="46"/>
        <v>1</v>
      </c>
      <c r="AF72" s="78">
        <f t="shared" si="38"/>
        <v>577.46</v>
      </c>
      <c r="AG72" s="68" t="str">
        <f t="shared" si="39"/>
        <v>OK</v>
      </c>
    </row>
    <row r="73" spans="1:33" outlineLevel="1" x14ac:dyDescent="0.25">
      <c r="A73" s="9" t="s">
        <v>6</v>
      </c>
      <c r="B73" s="9" t="s">
        <v>115</v>
      </c>
      <c r="C73" s="9" t="s">
        <v>8</v>
      </c>
      <c r="D73" s="10" t="s">
        <v>116</v>
      </c>
      <c r="E73" s="79" t="s">
        <v>17</v>
      </c>
      <c r="F73" s="97">
        <v>5</v>
      </c>
      <c r="G73" s="81">
        <f>COTACOES!M11</f>
        <v>33.65</v>
      </c>
      <c r="H73" s="81">
        <v>0</v>
      </c>
      <c r="I73" s="81">
        <f t="shared" si="40"/>
        <v>33.65</v>
      </c>
      <c r="J73" s="81">
        <f t="shared" si="41"/>
        <v>168.25</v>
      </c>
      <c r="K73" s="86">
        <v>0.27760000000000001</v>
      </c>
      <c r="L73" s="81">
        <f t="shared" si="42"/>
        <v>214.95</v>
      </c>
      <c r="M73" s="81">
        <f t="shared" si="42"/>
        <v>0</v>
      </c>
      <c r="N73" s="81">
        <f t="shared" si="43"/>
        <v>214.95</v>
      </c>
      <c r="Z73" s="83">
        <v>0.25</v>
      </c>
      <c r="AA73" s="84">
        <f t="shared" si="44"/>
        <v>53.737499999999997</v>
      </c>
      <c r="AB73" s="83">
        <v>0.75</v>
      </c>
      <c r="AC73" s="84">
        <f t="shared" si="45"/>
        <v>161.21249999999998</v>
      </c>
      <c r="AE73" s="85">
        <f t="shared" si="46"/>
        <v>1</v>
      </c>
      <c r="AF73" s="78">
        <f t="shared" si="38"/>
        <v>214.95</v>
      </c>
      <c r="AG73" s="68" t="str">
        <f t="shared" si="39"/>
        <v>OK</v>
      </c>
    </row>
    <row r="74" spans="1:33" outlineLevel="1" x14ac:dyDescent="0.25">
      <c r="A74" s="9" t="s">
        <v>6</v>
      </c>
      <c r="B74" s="9" t="s">
        <v>117</v>
      </c>
      <c r="C74" s="9" t="s">
        <v>8</v>
      </c>
      <c r="D74" s="10" t="s">
        <v>118</v>
      </c>
      <c r="E74" s="79" t="s">
        <v>9</v>
      </c>
      <c r="F74" s="97">
        <v>16</v>
      </c>
      <c r="G74" s="81">
        <f>COTACOES!M12</f>
        <v>7.76</v>
      </c>
      <c r="H74" s="81">
        <v>0</v>
      </c>
      <c r="I74" s="81">
        <f t="shared" si="40"/>
        <v>7.76</v>
      </c>
      <c r="J74" s="81">
        <f t="shared" si="41"/>
        <v>124.16</v>
      </c>
      <c r="K74" s="86">
        <v>0.27760000000000001</v>
      </c>
      <c r="L74" s="81">
        <f t="shared" si="42"/>
        <v>158.62</v>
      </c>
      <c r="M74" s="81">
        <f t="shared" si="42"/>
        <v>0</v>
      </c>
      <c r="N74" s="81">
        <f t="shared" si="43"/>
        <v>158.62</v>
      </c>
      <c r="Z74" s="83">
        <v>0.25</v>
      </c>
      <c r="AA74" s="84">
        <f t="shared" si="44"/>
        <v>39.655000000000001</v>
      </c>
      <c r="AB74" s="83">
        <v>0.75</v>
      </c>
      <c r="AC74" s="84">
        <f t="shared" si="45"/>
        <v>118.965</v>
      </c>
      <c r="AE74" s="85">
        <f t="shared" si="46"/>
        <v>1</v>
      </c>
      <c r="AF74" s="78">
        <f t="shared" si="38"/>
        <v>158.62</v>
      </c>
      <c r="AG74" s="68" t="str">
        <f t="shared" si="39"/>
        <v>OK</v>
      </c>
    </row>
    <row r="75" spans="1:33" ht="30" outlineLevel="1" x14ac:dyDescent="0.25">
      <c r="A75" s="9" t="s">
        <v>24</v>
      </c>
      <c r="B75" s="9" t="s">
        <v>119</v>
      </c>
      <c r="C75" s="9" t="s">
        <v>281</v>
      </c>
      <c r="D75" s="10" t="s">
        <v>120</v>
      </c>
      <c r="E75" s="79" t="s">
        <v>9</v>
      </c>
      <c r="F75" s="97">
        <v>4</v>
      </c>
      <c r="G75" s="81">
        <v>12.56</v>
      </c>
      <c r="H75" s="81">
        <v>0</v>
      </c>
      <c r="I75" s="81">
        <f t="shared" si="40"/>
        <v>12.56</v>
      </c>
      <c r="J75" s="81">
        <f t="shared" si="41"/>
        <v>50.24</v>
      </c>
      <c r="K75" s="86">
        <v>0.27760000000000001</v>
      </c>
      <c r="L75" s="81">
        <f t="shared" si="42"/>
        <v>64.180000000000007</v>
      </c>
      <c r="M75" s="81">
        <f t="shared" si="42"/>
        <v>0</v>
      </c>
      <c r="N75" s="81">
        <f t="shared" si="43"/>
        <v>64.180000000000007</v>
      </c>
      <c r="Z75" s="83">
        <v>0.25</v>
      </c>
      <c r="AA75" s="84">
        <f t="shared" si="44"/>
        <v>16.045000000000002</v>
      </c>
      <c r="AB75" s="83">
        <v>0.75</v>
      </c>
      <c r="AC75" s="84">
        <f t="shared" si="45"/>
        <v>48.135000000000005</v>
      </c>
      <c r="AE75" s="85">
        <f t="shared" si="46"/>
        <v>1</v>
      </c>
      <c r="AF75" s="78">
        <f t="shared" si="38"/>
        <v>64.180000000000007</v>
      </c>
      <c r="AG75" s="68" t="str">
        <f t="shared" si="39"/>
        <v>OK</v>
      </c>
    </row>
    <row r="76" spans="1:33" outlineLevel="1" x14ac:dyDescent="0.25">
      <c r="A76" s="9" t="s">
        <v>6</v>
      </c>
      <c r="B76" s="9" t="s">
        <v>121</v>
      </c>
      <c r="C76" s="9" t="s">
        <v>8</v>
      </c>
      <c r="D76" s="10" t="s">
        <v>423</v>
      </c>
      <c r="E76" s="79" t="s">
        <v>9</v>
      </c>
      <c r="F76" s="97">
        <v>1</v>
      </c>
      <c r="G76" s="81">
        <f>COTACOES!M13</f>
        <v>964</v>
      </c>
      <c r="H76" s="81">
        <v>0</v>
      </c>
      <c r="I76" s="81">
        <f t="shared" si="40"/>
        <v>964</v>
      </c>
      <c r="J76" s="81">
        <f t="shared" si="41"/>
        <v>964</v>
      </c>
      <c r="K76" s="86">
        <v>0.27760000000000001</v>
      </c>
      <c r="L76" s="81">
        <f t="shared" ref="L76:M78" si="47">TRUNC($F76*G76*(1+$K76),2)</f>
        <v>1231.5999999999999</v>
      </c>
      <c r="M76" s="81">
        <f t="shared" si="47"/>
        <v>0</v>
      </c>
      <c r="N76" s="81">
        <f t="shared" si="43"/>
        <v>1231.5999999999999</v>
      </c>
      <c r="Z76" s="83">
        <v>0.25</v>
      </c>
      <c r="AA76" s="84">
        <f t="shared" si="44"/>
        <v>307.89999999999998</v>
      </c>
      <c r="AB76" s="83">
        <v>0.75</v>
      </c>
      <c r="AC76" s="84">
        <f t="shared" si="45"/>
        <v>923.69999999999993</v>
      </c>
      <c r="AE76" s="85">
        <f t="shared" si="46"/>
        <v>1</v>
      </c>
      <c r="AF76" s="78">
        <f t="shared" si="38"/>
        <v>1231.5999999999999</v>
      </c>
      <c r="AG76" s="68" t="str">
        <f t="shared" si="39"/>
        <v>OK</v>
      </c>
    </row>
    <row r="77" spans="1:33" ht="30" outlineLevel="1" x14ac:dyDescent="0.25">
      <c r="A77" s="9" t="s">
        <v>24</v>
      </c>
      <c r="B77" s="9" t="s">
        <v>122</v>
      </c>
      <c r="C77" s="9" t="s">
        <v>270</v>
      </c>
      <c r="D77" s="10" t="s">
        <v>91</v>
      </c>
      <c r="E77" s="79" t="s">
        <v>9</v>
      </c>
      <c r="F77" s="97">
        <v>15</v>
      </c>
      <c r="G77" s="81">
        <v>14.8</v>
      </c>
      <c r="H77" s="81">
        <v>17.02</v>
      </c>
      <c r="I77" s="81">
        <f t="shared" si="40"/>
        <v>31.82</v>
      </c>
      <c r="J77" s="81">
        <f t="shared" si="41"/>
        <v>477.3</v>
      </c>
      <c r="K77" s="86">
        <v>0.27760000000000001</v>
      </c>
      <c r="L77" s="81">
        <f t="shared" si="47"/>
        <v>283.62</v>
      </c>
      <c r="M77" s="81">
        <f t="shared" si="47"/>
        <v>326.17</v>
      </c>
      <c r="N77" s="81">
        <f t="shared" si="43"/>
        <v>609.79</v>
      </c>
      <c r="Z77" s="83">
        <v>0.25</v>
      </c>
      <c r="AA77" s="84">
        <f t="shared" si="44"/>
        <v>152.44749999999999</v>
      </c>
      <c r="AB77" s="83">
        <v>0.75</v>
      </c>
      <c r="AC77" s="84">
        <f t="shared" si="45"/>
        <v>457.34249999999997</v>
      </c>
      <c r="AE77" s="85">
        <f t="shared" si="46"/>
        <v>1</v>
      </c>
      <c r="AF77" s="78">
        <f t="shared" si="38"/>
        <v>609.79</v>
      </c>
      <c r="AG77" s="68" t="str">
        <f t="shared" si="39"/>
        <v>OK</v>
      </c>
    </row>
    <row r="78" spans="1:33" outlineLevel="1" x14ac:dyDescent="0.25">
      <c r="A78" s="9" t="s">
        <v>24</v>
      </c>
      <c r="B78" s="9" t="s">
        <v>123</v>
      </c>
      <c r="C78" s="9" t="s">
        <v>257</v>
      </c>
      <c r="D78" s="10" t="s">
        <v>231</v>
      </c>
      <c r="E78" s="9" t="s">
        <v>69</v>
      </c>
      <c r="F78" s="87">
        <v>8</v>
      </c>
      <c r="G78" s="81">
        <v>4.5599999999999996</v>
      </c>
      <c r="H78" s="81">
        <v>12.49</v>
      </c>
      <c r="I78" s="81">
        <f t="shared" si="40"/>
        <v>17.05</v>
      </c>
      <c r="J78" s="81">
        <f t="shared" si="41"/>
        <v>136.4</v>
      </c>
      <c r="K78" s="86">
        <v>0.27760000000000001</v>
      </c>
      <c r="L78" s="81">
        <f t="shared" si="47"/>
        <v>46.6</v>
      </c>
      <c r="M78" s="81">
        <f t="shared" si="47"/>
        <v>127.65</v>
      </c>
      <c r="N78" s="81">
        <f t="shared" si="43"/>
        <v>174.25</v>
      </c>
      <c r="Z78" s="83">
        <v>0.25</v>
      </c>
      <c r="AA78" s="84">
        <f t="shared" si="44"/>
        <v>43.5625</v>
      </c>
      <c r="AB78" s="83">
        <v>0.75</v>
      </c>
      <c r="AC78" s="84">
        <f t="shared" si="45"/>
        <v>130.6875</v>
      </c>
      <c r="AE78" s="85">
        <f t="shared" si="46"/>
        <v>1</v>
      </c>
      <c r="AF78" s="78">
        <f t="shared" si="38"/>
        <v>174.25</v>
      </c>
      <c r="AG78" s="68" t="str">
        <f t="shared" si="39"/>
        <v>OK</v>
      </c>
    </row>
    <row r="79" spans="1:33" x14ac:dyDescent="0.25">
      <c r="D79" s="93"/>
    </row>
    <row r="80" spans="1:33" x14ac:dyDescent="0.25">
      <c r="A80" s="5" t="s">
        <v>124</v>
      </c>
      <c r="B80" s="6"/>
      <c r="C80" s="6"/>
      <c r="D80" s="29"/>
      <c r="E80" s="6"/>
      <c r="F80" s="7"/>
      <c r="G80" s="7"/>
      <c r="H80" s="7"/>
      <c r="I80" s="8"/>
      <c r="J80" s="8"/>
      <c r="K80" s="8"/>
      <c r="L80" s="8"/>
      <c r="M80" s="8"/>
      <c r="N80" s="8">
        <f>SUM(N81:N120)</f>
        <v>18508.34</v>
      </c>
      <c r="P80" s="76">
        <f>N80/$N$170</f>
        <v>5.3997064525160871E-2</v>
      </c>
      <c r="Q80" s="76">
        <f>N80/$N$170</f>
        <v>5.3997064525160871E-2</v>
      </c>
      <c r="T80" s="77">
        <f>U80/$N$170</f>
        <v>0</v>
      </c>
      <c r="U80" s="75">
        <f>SUM(U81:U120)</f>
        <v>0</v>
      </c>
      <c r="V80" s="77">
        <f>W80/$N$170</f>
        <v>0</v>
      </c>
      <c r="W80" s="75">
        <f>SUM(W81:W120)</f>
        <v>0</v>
      </c>
      <c r="X80" s="77">
        <f>Y80/$N$170</f>
        <v>0</v>
      </c>
      <c r="Y80" s="75">
        <f>SUM(Y81:Y120)</f>
        <v>0</v>
      </c>
      <c r="Z80" s="58">
        <f>AA80/$N$170</f>
        <v>4.0497798393870653E-2</v>
      </c>
      <c r="AA80" s="8">
        <f>SUM(AA81:AA120)</f>
        <v>13881.255000000001</v>
      </c>
      <c r="AB80" s="58">
        <f>AC80/$N$170</f>
        <v>1.3499266131290218E-2</v>
      </c>
      <c r="AC80" s="8">
        <f>SUM(AC81:AC120)</f>
        <v>4627.085</v>
      </c>
      <c r="AE80" s="71"/>
      <c r="AF80" s="78">
        <f t="shared" ref="AF80:AF120" si="48">SUM(U80,Y80,AA80,AC80)</f>
        <v>18508.34</v>
      </c>
      <c r="AG80" s="68" t="str">
        <f t="shared" ref="AG80:AG120" si="49">IF(AF80=N80,"OK","VERIFICAR")</f>
        <v>OK</v>
      </c>
    </row>
    <row r="81" spans="1:33" ht="30" outlineLevel="1" x14ac:dyDescent="0.25">
      <c r="A81" s="9" t="s">
        <v>24</v>
      </c>
      <c r="B81" s="9" t="s">
        <v>125</v>
      </c>
      <c r="C81" s="9" t="s">
        <v>282</v>
      </c>
      <c r="D81" s="95" t="s">
        <v>126</v>
      </c>
      <c r="E81" s="79" t="s">
        <v>84</v>
      </c>
      <c r="F81" s="97">
        <v>50</v>
      </c>
      <c r="G81" s="81">
        <v>12.26</v>
      </c>
      <c r="H81" s="81">
        <v>2.73</v>
      </c>
      <c r="I81" s="81">
        <f t="shared" ref="I81:I120" si="50">G81+H81</f>
        <v>14.99</v>
      </c>
      <c r="J81" s="81">
        <f t="shared" ref="J81:J120" si="51">TRUNC(I81*F81,2)</f>
        <v>749.5</v>
      </c>
      <c r="K81" s="86">
        <v>0.27760000000000001</v>
      </c>
      <c r="L81" s="81">
        <f t="shared" ref="L81:M96" si="52">TRUNC($F81*G81*(1+$K81),2)</f>
        <v>783.16</v>
      </c>
      <c r="M81" s="81">
        <f t="shared" si="52"/>
        <v>174.39</v>
      </c>
      <c r="N81" s="81">
        <f t="shared" ref="N81:N120" si="53">M81+L81</f>
        <v>957.55</v>
      </c>
      <c r="Q81" s="76"/>
      <c r="Z81" s="83">
        <v>0.75</v>
      </c>
      <c r="AA81" s="84">
        <f t="shared" ref="AA81:AA120" si="54">Z81*$N81</f>
        <v>718.16249999999991</v>
      </c>
      <c r="AB81" s="83">
        <v>0.25</v>
      </c>
      <c r="AC81" s="84">
        <f t="shared" ref="AC81:AC120" si="55">AB81*$N81</f>
        <v>239.38749999999999</v>
      </c>
      <c r="AE81" s="85">
        <f t="shared" ref="AE81:AE120" si="56">SUM(T81,X81,Z81,AB81)</f>
        <v>1</v>
      </c>
      <c r="AF81" s="78">
        <f t="shared" si="48"/>
        <v>957.55</v>
      </c>
      <c r="AG81" s="68" t="str">
        <f t="shared" si="49"/>
        <v>OK</v>
      </c>
    </row>
    <row r="82" spans="1:33" ht="30" outlineLevel="1" x14ac:dyDescent="0.25">
      <c r="A82" s="9" t="s">
        <v>24</v>
      </c>
      <c r="B82" s="9" t="s">
        <v>127</v>
      </c>
      <c r="C82" s="9" t="s">
        <v>283</v>
      </c>
      <c r="D82" s="95" t="s">
        <v>128</v>
      </c>
      <c r="E82" s="79" t="s">
        <v>9</v>
      </c>
      <c r="F82" s="97">
        <v>6</v>
      </c>
      <c r="G82" s="81">
        <v>11.01</v>
      </c>
      <c r="H82" s="81">
        <v>8.2200000000000006</v>
      </c>
      <c r="I82" s="81">
        <f t="shared" si="50"/>
        <v>19.23</v>
      </c>
      <c r="J82" s="81">
        <f t="shared" si="51"/>
        <v>115.38</v>
      </c>
      <c r="K82" s="86">
        <v>0.27760000000000001</v>
      </c>
      <c r="L82" s="81">
        <f t="shared" si="52"/>
        <v>84.39</v>
      </c>
      <c r="M82" s="81">
        <f t="shared" si="52"/>
        <v>63.01</v>
      </c>
      <c r="N82" s="81">
        <f t="shared" si="53"/>
        <v>147.4</v>
      </c>
      <c r="Q82" s="76"/>
      <c r="Z82" s="83">
        <v>0.75</v>
      </c>
      <c r="AA82" s="84">
        <f t="shared" si="54"/>
        <v>110.55000000000001</v>
      </c>
      <c r="AB82" s="83">
        <v>0.25</v>
      </c>
      <c r="AC82" s="84">
        <f t="shared" si="55"/>
        <v>36.85</v>
      </c>
      <c r="AE82" s="85">
        <f t="shared" si="56"/>
        <v>1</v>
      </c>
      <c r="AF82" s="78">
        <f t="shared" si="48"/>
        <v>147.4</v>
      </c>
      <c r="AG82" s="68" t="str">
        <f t="shared" si="49"/>
        <v>OK</v>
      </c>
    </row>
    <row r="83" spans="1:33" ht="30" outlineLevel="1" x14ac:dyDescent="0.25">
      <c r="A83" s="9" t="s">
        <v>24</v>
      </c>
      <c r="B83" s="9" t="s">
        <v>129</v>
      </c>
      <c r="C83" s="9" t="s">
        <v>284</v>
      </c>
      <c r="D83" s="95" t="s">
        <v>130</v>
      </c>
      <c r="E83" s="79" t="s">
        <v>9</v>
      </c>
      <c r="F83" s="97">
        <v>12</v>
      </c>
      <c r="G83" s="81">
        <v>6.51</v>
      </c>
      <c r="H83" s="81">
        <v>5.48</v>
      </c>
      <c r="I83" s="81">
        <f t="shared" si="50"/>
        <v>11.99</v>
      </c>
      <c r="J83" s="81">
        <f t="shared" si="51"/>
        <v>143.88</v>
      </c>
      <c r="K83" s="86">
        <v>0.27760000000000001</v>
      </c>
      <c r="L83" s="81">
        <f t="shared" si="52"/>
        <v>99.8</v>
      </c>
      <c r="M83" s="81">
        <f t="shared" si="52"/>
        <v>84.01</v>
      </c>
      <c r="N83" s="81">
        <f t="shared" si="53"/>
        <v>183.81</v>
      </c>
      <c r="Q83" s="76"/>
      <c r="Z83" s="83">
        <v>0.75</v>
      </c>
      <c r="AA83" s="84">
        <f t="shared" si="54"/>
        <v>137.85750000000002</v>
      </c>
      <c r="AB83" s="83">
        <v>0.25</v>
      </c>
      <c r="AC83" s="84">
        <f t="shared" si="55"/>
        <v>45.952500000000001</v>
      </c>
      <c r="AE83" s="85">
        <f t="shared" si="56"/>
        <v>1</v>
      </c>
      <c r="AF83" s="78">
        <f t="shared" si="48"/>
        <v>183.81</v>
      </c>
      <c r="AG83" s="68" t="str">
        <f t="shared" si="49"/>
        <v>OK</v>
      </c>
    </row>
    <row r="84" spans="1:33" ht="30" outlineLevel="1" x14ac:dyDescent="0.25">
      <c r="A84" s="9" t="s">
        <v>24</v>
      </c>
      <c r="B84" s="9" t="s">
        <v>131</v>
      </c>
      <c r="C84" s="9" t="s">
        <v>285</v>
      </c>
      <c r="D84" s="95" t="s">
        <v>132</v>
      </c>
      <c r="E84" s="79" t="s">
        <v>9</v>
      </c>
      <c r="F84" s="97">
        <v>6</v>
      </c>
      <c r="G84" s="81">
        <v>12.56</v>
      </c>
      <c r="H84" s="81">
        <v>0</v>
      </c>
      <c r="I84" s="81">
        <f t="shared" si="50"/>
        <v>12.56</v>
      </c>
      <c r="J84" s="81">
        <f t="shared" si="51"/>
        <v>75.36</v>
      </c>
      <c r="K84" s="86">
        <v>0.27760000000000001</v>
      </c>
      <c r="L84" s="81">
        <f t="shared" si="52"/>
        <v>96.27</v>
      </c>
      <c r="M84" s="81">
        <f t="shared" si="52"/>
        <v>0</v>
      </c>
      <c r="N84" s="81">
        <f t="shared" si="53"/>
        <v>96.27</v>
      </c>
      <c r="Q84" s="76"/>
      <c r="Z84" s="83">
        <v>0.75</v>
      </c>
      <c r="AA84" s="84">
        <f t="shared" si="54"/>
        <v>72.202500000000001</v>
      </c>
      <c r="AB84" s="83">
        <v>0.25</v>
      </c>
      <c r="AC84" s="84">
        <f t="shared" si="55"/>
        <v>24.067499999999999</v>
      </c>
      <c r="AE84" s="85">
        <f t="shared" si="56"/>
        <v>1</v>
      </c>
      <c r="AF84" s="78">
        <f t="shared" si="48"/>
        <v>96.27</v>
      </c>
      <c r="AG84" s="68" t="str">
        <f t="shared" si="49"/>
        <v>OK</v>
      </c>
    </row>
    <row r="85" spans="1:33" outlineLevel="1" x14ac:dyDescent="0.25">
      <c r="A85" s="9" t="s">
        <v>24</v>
      </c>
      <c r="B85" s="9" t="s">
        <v>133</v>
      </c>
      <c r="C85" s="9" t="s">
        <v>286</v>
      </c>
      <c r="D85" s="95" t="s">
        <v>134</v>
      </c>
      <c r="E85" s="79" t="s">
        <v>9</v>
      </c>
      <c r="F85" s="97">
        <v>6</v>
      </c>
      <c r="G85" s="81">
        <v>2.04</v>
      </c>
      <c r="H85" s="81">
        <v>0</v>
      </c>
      <c r="I85" s="81">
        <f t="shared" si="50"/>
        <v>2.04</v>
      </c>
      <c r="J85" s="81">
        <f t="shared" si="51"/>
        <v>12.24</v>
      </c>
      <c r="K85" s="86">
        <v>0.27760000000000001</v>
      </c>
      <c r="L85" s="81">
        <f t="shared" si="52"/>
        <v>15.63</v>
      </c>
      <c r="M85" s="81">
        <f t="shared" si="52"/>
        <v>0</v>
      </c>
      <c r="N85" s="81">
        <f t="shared" si="53"/>
        <v>15.63</v>
      </c>
      <c r="Q85" s="76"/>
      <c r="Z85" s="83">
        <v>0.75</v>
      </c>
      <c r="AA85" s="84">
        <f t="shared" si="54"/>
        <v>11.7225</v>
      </c>
      <c r="AB85" s="83">
        <v>0.25</v>
      </c>
      <c r="AC85" s="84">
        <f t="shared" si="55"/>
        <v>3.9075000000000002</v>
      </c>
      <c r="AE85" s="85">
        <f t="shared" si="56"/>
        <v>1</v>
      </c>
      <c r="AF85" s="78">
        <f t="shared" si="48"/>
        <v>15.63</v>
      </c>
      <c r="AG85" s="68" t="str">
        <f t="shared" si="49"/>
        <v>OK</v>
      </c>
    </row>
    <row r="86" spans="1:33" outlineLevel="1" x14ac:dyDescent="0.25">
      <c r="A86" s="9" t="s">
        <v>24</v>
      </c>
      <c r="B86" s="9" t="s">
        <v>135</v>
      </c>
      <c r="C86" s="9" t="s">
        <v>287</v>
      </c>
      <c r="D86" s="95" t="s">
        <v>136</v>
      </c>
      <c r="E86" s="79" t="s">
        <v>9</v>
      </c>
      <c r="F86" s="97">
        <v>6</v>
      </c>
      <c r="G86" s="81">
        <v>0.97</v>
      </c>
      <c r="H86" s="81">
        <v>0</v>
      </c>
      <c r="I86" s="81">
        <f t="shared" si="50"/>
        <v>0.97</v>
      </c>
      <c r="J86" s="81">
        <f t="shared" si="51"/>
        <v>5.82</v>
      </c>
      <c r="K86" s="86">
        <v>0.27760000000000001</v>
      </c>
      <c r="L86" s="81">
        <f t="shared" si="52"/>
        <v>7.43</v>
      </c>
      <c r="M86" s="81">
        <f t="shared" si="52"/>
        <v>0</v>
      </c>
      <c r="N86" s="81">
        <f t="shared" si="53"/>
        <v>7.43</v>
      </c>
      <c r="Q86" s="76"/>
      <c r="Z86" s="83">
        <v>0.75</v>
      </c>
      <c r="AA86" s="84">
        <f t="shared" si="54"/>
        <v>5.5724999999999998</v>
      </c>
      <c r="AB86" s="83">
        <v>0.25</v>
      </c>
      <c r="AC86" s="84">
        <f t="shared" si="55"/>
        <v>1.8574999999999999</v>
      </c>
      <c r="AE86" s="85">
        <f t="shared" si="56"/>
        <v>1</v>
      </c>
      <c r="AF86" s="78">
        <f t="shared" si="48"/>
        <v>7.43</v>
      </c>
      <c r="AG86" s="68" t="str">
        <f t="shared" si="49"/>
        <v>OK</v>
      </c>
    </row>
    <row r="87" spans="1:33" ht="30" outlineLevel="1" x14ac:dyDescent="0.25">
      <c r="A87" s="9" t="s">
        <v>24</v>
      </c>
      <c r="B87" s="9" t="s">
        <v>137</v>
      </c>
      <c r="C87" s="9" t="s">
        <v>289</v>
      </c>
      <c r="D87" s="95" t="s">
        <v>138</v>
      </c>
      <c r="E87" s="79" t="s">
        <v>9</v>
      </c>
      <c r="F87" s="97">
        <v>3</v>
      </c>
      <c r="G87" s="81">
        <v>22.52</v>
      </c>
      <c r="H87" s="81">
        <v>0</v>
      </c>
      <c r="I87" s="81">
        <f t="shared" si="50"/>
        <v>22.52</v>
      </c>
      <c r="J87" s="81">
        <f t="shared" si="51"/>
        <v>67.56</v>
      </c>
      <c r="K87" s="86">
        <v>0.27760000000000001</v>
      </c>
      <c r="L87" s="81">
        <f t="shared" si="52"/>
        <v>86.31</v>
      </c>
      <c r="M87" s="81">
        <f t="shared" si="52"/>
        <v>0</v>
      </c>
      <c r="N87" s="81">
        <f t="shared" si="53"/>
        <v>86.31</v>
      </c>
      <c r="Q87" s="76"/>
      <c r="Z87" s="83">
        <v>0.75</v>
      </c>
      <c r="AA87" s="84">
        <f t="shared" si="54"/>
        <v>64.732500000000002</v>
      </c>
      <c r="AB87" s="83">
        <v>0.25</v>
      </c>
      <c r="AC87" s="84">
        <f t="shared" si="55"/>
        <v>21.577500000000001</v>
      </c>
      <c r="AE87" s="85">
        <f t="shared" si="56"/>
        <v>1</v>
      </c>
      <c r="AF87" s="78">
        <f t="shared" si="48"/>
        <v>86.31</v>
      </c>
      <c r="AG87" s="68" t="str">
        <f t="shared" si="49"/>
        <v>OK</v>
      </c>
    </row>
    <row r="88" spans="1:33" ht="30" outlineLevel="1" x14ac:dyDescent="0.25">
      <c r="A88" s="9" t="s">
        <v>24</v>
      </c>
      <c r="B88" s="9" t="s">
        <v>139</v>
      </c>
      <c r="C88" s="9" t="s">
        <v>290</v>
      </c>
      <c r="D88" s="95" t="s">
        <v>140</v>
      </c>
      <c r="E88" s="79" t="s">
        <v>9</v>
      </c>
      <c r="F88" s="80">
        <v>6</v>
      </c>
      <c r="G88" s="81">
        <v>46.16</v>
      </c>
      <c r="H88" s="81">
        <v>0</v>
      </c>
      <c r="I88" s="81">
        <f t="shared" si="50"/>
        <v>46.16</v>
      </c>
      <c r="J88" s="81">
        <f t="shared" si="51"/>
        <v>276.95999999999998</v>
      </c>
      <c r="K88" s="86">
        <v>0.27760000000000001</v>
      </c>
      <c r="L88" s="81">
        <f t="shared" si="52"/>
        <v>353.84</v>
      </c>
      <c r="M88" s="81">
        <f t="shared" si="52"/>
        <v>0</v>
      </c>
      <c r="N88" s="81">
        <f t="shared" si="53"/>
        <v>353.84</v>
      </c>
      <c r="Q88" s="76"/>
      <c r="Z88" s="83">
        <v>0.75</v>
      </c>
      <c r="AA88" s="84">
        <f t="shared" si="54"/>
        <v>265.38</v>
      </c>
      <c r="AB88" s="83">
        <v>0.25</v>
      </c>
      <c r="AC88" s="84">
        <f t="shared" si="55"/>
        <v>88.46</v>
      </c>
      <c r="AE88" s="85">
        <f t="shared" si="56"/>
        <v>1</v>
      </c>
      <c r="AF88" s="78">
        <f t="shared" si="48"/>
        <v>353.84</v>
      </c>
      <c r="AG88" s="68" t="str">
        <f t="shared" si="49"/>
        <v>OK</v>
      </c>
    </row>
    <row r="89" spans="1:33" ht="30" outlineLevel="1" x14ac:dyDescent="0.25">
      <c r="A89" s="9" t="s">
        <v>24</v>
      </c>
      <c r="B89" s="9" t="s">
        <v>141</v>
      </c>
      <c r="C89" s="9" t="s">
        <v>288</v>
      </c>
      <c r="D89" s="10" t="s">
        <v>142</v>
      </c>
      <c r="E89" s="79" t="s">
        <v>9</v>
      </c>
      <c r="F89" s="97">
        <v>1</v>
      </c>
      <c r="G89" s="81">
        <v>63.66</v>
      </c>
      <c r="H89" s="81">
        <v>4.21</v>
      </c>
      <c r="I89" s="81">
        <f t="shared" si="50"/>
        <v>67.86999999999999</v>
      </c>
      <c r="J89" s="81">
        <f t="shared" si="51"/>
        <v>67.87</v>
      </c>
      <c r="K89" s="86">
        <v>0.27760000000000001</v>
      </c>
      <c r="L89" s="81">
        <f t="shared" si="52"/>
        <v>81.33</v>
      </c>
      <c r="M89" s="81">
        <f t="shared" si="52"/>
        <v>5.37</v>
      </c>
      <c r="N89" s="81">
        <f t="shared" si="53"/>
        <v>86.7</v>
      </c>
      <c r="Q89" s="76"/>
      <c r="Z89" s="83">
        <v>0.75</v>
      </c>
      <c r="AA89" s="84">
        <f t="shared" si="54"/>
        <v>65.025000000000006</v>
      </c>
      <c r="AB89" s="83">
        <v>0.25</v>
      </c>
      <c r="AC89" s="84">
        <f t="shared" si="55"/>
        <v>21.675000000000001</v>
      </c>
      <c r="AE89" s="85">
        <f t="shared" si="56"/>
        <v>1</v>
      </c>
      <c r="AF89" s="78">
        <f t="shared" si="48"/>
        <v>86.7</v>
      </c>
      <c r="AG89" s="68" t="str">
        <f t="shared" si="49"/>
        <v>OK</v>
      </c>
    </row>
    <row r="90" spans="1:33" ht="30" outlineLevel="1" x14ac:dyDescent="0.25">
      <c r="A90" s="9" t="s">
        <v>24</v>
      </c>
      <c r="B90" s="9" t="s">
        <v>143</v>
      </c>
      <c r="C90" s="9" t="s">
        <v>291</v>
      </c>
      <c r="D90" s="10" t="s">
        <v>144</v>
      </c>
      <c r="E90" s="79" t="s">
        <v>9</v>
      </c>
      <c r="F90" s="97">
        <v>1</v>
      </c>
      <c r="G90" s="81">
        <v>115.39</v>
      </c>
      <c r="H90" s="81">
        <v>0</v>
      </c>
      <c r="I90" s="81">
        <f t="shared" si="50"/>
        <v>115.39</v>
      </c>
      <c r="J90" s="81">
        <f t="shared" si="51"/>
        <v>115.39</v>
      </c>
      <c r="K90" s="86">
        <v>0.27760000000000001</v>
      </c>
      <c r="L90" s="81">
        <f t="shared" si="52"/>
        <v>147.41999999999999</v>
      </c>
      <c r="M90" s="81">
        <f t="shared" si="52"/>
        <v>0</v>
      </c>
      <c r="N90" s="81">
        <f t="shared" si="53"/>
        <v>147.41999999999999</v>
      </c>
      <c r="Q90" s="76"/>
      <c r="Z90" s="83">
        <v>0.75</v>
      </c>
      <c r="AA90" s="84">
        <f t="shared" si="54"/>
        <v>110.565</v>
      </c>
      <c r="AB90" s="83">
        <v>0.25</v>
      </c>
      <c r="AC90" s="84">
        <f t="shared" si="55"/>
        <v>36.854999999999997</v>
      </c>
      <c r="AE90" s="85">
        <f t="shared" si="56"/>
        <v>1</v>
      </c>
      <c r="AF90" s="78">
        <f t="shared" si="48"/>
        <v>147.41999999999999</v>
      </c>
      <c r="AG90" s="68" t="str">
        <f t="shared" si="49"/>
        <v>OK</v>
      </c>
    </row>
    <row r="91" spans="1:33" ht="30" outlineLevel="1" x14ac:dyDescent="0.25">
      <c r="A91" s="9" t="s">
        <v>24</v>
      </c>
      <c r="B91" s="9" t="s">
        <v>180</v>
      </c>
      <c r="C91" s="9" t="s">
        <v>247</v>
      </c>
      <c r="D91" s="10" t="s">
        <v>42</v>
      </c>
      <c r="E91" s="79" t="s">
        <v>84</v>
      </c>
      <c r="F91" s="97">
        <v>200</v>
      </c>
      <c r="G91" s="81">
        <v>6.91</v>
      </c>
      <c r="H91" s="81">
        <v>1.62</v>
      </c>
      <c r="I91" s="81">
        <f t="shared" si="50"/>
        <v>8.5300000000000011</v>
      </c>
      <c r="J91" s="81">
        <f t="shared" si="51"/>
        <v>1706</v>
      </c>
      <c r="K91" s="86">
        <v>0.27760000000000001</v>
      </c>
      <c r="L91" s="81">
        <f t="shared" si="52"/>
        <v>1765.64</v>
      </c>
      <c r="M91" s="81">
        <f t="shared" si="52"/>
        <v>413.94</v>
      </c>
      <c r="N91" s="81">
        <f t="shared" si="53"/>
        <v>2179.58</v>
      </c>
      <c r="Q91" s="76"/>
      <c r="Z91" s="83">
        <v>0.75</v>
      </c>
      <c r="AA91" s="84">
        <f t="shared" si="54"/>
        <v>1634.6849999999999</v>
      </c>
      <c r="AB91" s="83">
        <v>0.25</v>
      </c>
      <c r="AC91" s="84">
        <f t="shared" si="55"/>
        <v>544.89499999999998</v>
      </c>
      <c r="AE91" s="85">
        <f t="shared" si="56"/>
        <v>1</v>
      </c>
      <c r="AF91" s="78">
        <f t="shared" si="48"/>
        <v>2179.58</v>
      </c>
      <c r="AG91" s="68" t="str">
        <f t="shared" si="49"/>
        <v>OK</v>
      </c>
    </row>
    <row r="92" spans="1:33" ht="30" outlineLevel="1" x14ac:dyDescent="0.25">
      <c r="A92" s="9" t="s">
        <v>24</v>
      </c>
      <c r="B92" s="9" t="s">
        <v>145</v>
      </c>
      <c r="C92" s="9" t="s">
        <v>277</v>
      </c>
      <c r="D92" s="95" t="s">
        <v>105</v>
      </c>
      <c r="E92" s="79" t="s">
        <v>9</v>
      </c>
      <c r="F92" s="80">
        <v>40</v>
      </c>
      <c r="G92" s="81">
        <v>3.41</v>
      </c>
      <c r="H92" s="81">
        <v>0</v>
      </c>
      <c r="I92" s="81">
        <f t="shared" si="50"/>
        <v>3.41</v>
      </c>
      <c r="J92" s="81">
        <f t="shared" si="51"/>
        <v>136.4</v>
      </c>
      <c r="K92" s="86">
        <v>0.27760000000000001</v>
      </c>
      <c r="L92" s="81">
        <f t="shared" si="52"/>
        <v>174.26</v>
      </c>
      <c r="M92" s="81">
        <f t="shared" si="52"/>
        <v>0</v>
      </c>
      <c r="N92" s="81">
        <f t="shared" si="53"/>
        <v>174.26</v>
      </c>
      <c r="Q92" s="76"/>
      <c r="Z92" s="83">
        <v>0.75</v>
      </c>
      <c r="AA92" s="84">
        <f t="shared" si="54"/>
        <v>130.69499999999999</v>
      </c>
      <c r="AB92" s="83">
        <v>0.25</v>
      </c>
      <c r="AC92" s="84">
        <f t="shared" si="55"/>
        <v>43.564999999999998</v>
      </c>
      <c r="AE92" s="85">
        <f t="shared" si="56"/>
        <v>1</v>
      </c>
      <c r="AF92" s="78">
        <f t="shared" si="48"/>
        <v>174.26</v>
      </c>
      <c r="AG92" s="68" t="str">
        <f t="shared" si="49"/>
        <v>OK</v>
      </c>
    </row>
    <row r="93" spans="1:33" outlineLevel="1" x14ac:dyDescent="0.25">
      <c r="A93" s="9" t="s">
        <v>24</v>
      </c>
      <c r="B93" s="9" t="s">
        <v>146</v>
      </c>
      <c r="C93" s="9" t="s">
        <v>257</v>
      </c>
      <c r="D93" s="10" t="s">
        <v>262</v>
      </c>
      <c r="E93" s="9" t="s">
        <v>69</v>
      </c>
      <c r="F93" s="87">
        <v>8</v>
      </c>
      <c r="G93" s="81">
        <v>4.5599999999999996</v>
      </c>
      <c r="H93" s="81">
        <v>12.49</v>
      </c>
      <c r="I93" s="81">
        <f t="shared" si="50"/>
        <v>17.05</v>
      </c>
      <c r="J93" s="81">
        <f t="shared" si="51"/>
        <v>136.4</v>
      </c>
      <c r="K93" s="86">
        <v>0.27760000000000001</v>
      </c>
      <c r="L93" s="81">
        <f t="shared" si="52"/>
        <v>46.6</v>
      </c>
      <c r="M93" s="81">
        <f t="shared" si="52"/>
        <v>127.65</v>
      </c>
      <c r="N93" s="81">
        <f t="shared" si="53"/>
        <v>174.25</v>
      </c>
      <c r="Q93" s="76"/>
      <c r="Z93" s="83">
        <v>0.75</v>
      </c>
      <c r="AA93" s="84">
        <f t="shared" si="54"/>
        <v>130.6875</v>
      </c>
      <c r="AB93" s="83">
        <v>0.25</v>
      </c>
      <c r="AC93" s="84">
        <f t="shared" si="55"/>
        <v>43.5625</v>
      </c>
      <c r="AE93" s="85">
        <f t="shared" si="56"/>
        <v>1</v>
      </c>
      <c r="AF93" s="78">
        <f t="shared" si="48"/>
        <v>174.25</v>
      </c>
      <c r="AG93" s="68" t="str">
        <f t="shared" si="49"/>
        <v>OK</v>
      </c>
    </row>
    <row r="94" spans="1:33" outlineLevel="1" x14ac:dyDescent="0.25">
      <c r="A94" s="9" t="s">
        <v>24</v>
      </c>
      <c r="B94" s="9" t="s">
        <v>147</v>
      </c>
      <c r="C94" s="9" t="s">
        <v>292</v>
      </c>
      <c r="D94" s="10" t="s">
        <v>149</v>
      </c>
      <c r="E94" s="9" t="s">
        <v>150</v>
      </c>
      <c r="F94" s="87">
        <v>2</v>
      </c>
      <c r="G94" s="81">
        <f>0.06+27.72+0.05</f>
        <v>27.83</v>
      </c>
      <c r="H94" s="81">
        <v>17.05</v>
      </c>
      <c r="I94" s="81">
        <f t="shared" si="50"/>
        <v>44.879999999999995</v>
      </c>
      <c r="J94" s="81">
        <f t="shared" si="51"/>
        <v>89.76</v>
      </c>
      <c r="K94" s="86">
        <v>0.27760000000000001</v>
      </c>
      <c r="L94" s="81">
        <f t="shared" si="52"/>
        <v>71.11</v>
      </c>
      <c r="M94" s="81">
        <f t="shared" si="52"/>
        <v>43.56</v>
      </c>
      <c r="N94" s="81">
        <f t="shared" si="53"/>
        <v>114.67</v>
      </c>
      <c r="Q94" s="76"/>
      <c r="Z94" s="83">
        <v>0.75</v>
      </c>
      <c r="AA94" s="84">
        <f t="shared" si="54"/>
        <v>86.002499999999998</v>
      </c>
      <c r="AB94" s="83">
        <v>0.25</v>
      </c>
      <c r="AC94" s="84">
        <f t="shared" si="55"/>
        <v>28.6675</v>
      </c>
      <c r="AE94" s="85">
        <f t="shared" si="56"/>
        <v>1</v>
      </c>
      <c r="AF94" s="78">
        <f t="shared" si="48"/>
        <v>114.67</v>
      </c>
      <c r="AG94" s="68" t="str">
        <f t="shared" si="49"/>
        <v>OK</v>
      </c>
    </row>
    <row r="95" spans="1:33" ht="30" outlineLevel="1" x14ac:dyDescent="0.25">
      <c r="A95" s="9" t="s">
        <v>24</v>
      </c>
      <c r="B95" s="9" t="s">
        <v>181</v>
      </c>
      <c r="C95" s="9" t="s">
        <v>293</v>
      </c>
      <c r="D95" s="10" t="s">
        <v>151</v>
      </c>
      <c r="E95" s="98" t="s">
        <v>152</v>
      </c>
      <c r="F95" s="87">
        <v>0.154</v>
      </c>
      <c r="G95" s="81">
        <v>18.86</v>
      </c>
      <c r="H95" s="81">
        <v>42.78</v>
      </c>
      <c r="I95" s="81">
        <f t="shared" si="50"/>
        <v>61.64</v>
      </c>
      <c r="J95" s="81">
        <f t="shared" si="51"/>
        <v>9.49</v>
      </c>
      <c r="K95" s="86">
        <v>0.27760000000000001</v>
      </c>
      <c r="L95" s="81">
        <f t="shared" si="52"/>
        <v>3.71</v>
      </c>
      <c r="M95" s="81">
        <f t="shared" si="52"/>
        <v>8.41</v>
      </c>
      <c r="N95" s="81">
        <f t="shared" si="53"/>
        <v>12.120000000000001</v>
      </c>
      <c r="Q95" s="76"/>
      <c r="Z95" s="83">
        <v>0.75</v>
      </c>
      <c r="AA95" s="84">
        <f t="shared" si="54"/>
        <v>9.09</v>
      </c>
      <c r="AB95" s="83">
        <v>0.25</v>
      </c>
      <c r="AC95" s="84">
        <f t="shared" si="55"/>
        <v>3.0300000000000002</v>
      </c>
      <c r="AE95" s="85">
        <f t="shared" si="56"/>
        <v>1</v>
      </c>
      <c r="AF95" s="78">
        <f t="shared" si="48"/>
        <v>12.120000000000001</v>
      </c>
      <c r="AG95" s="68" t="str">
        <f t="shared" si="49"/>
        <v>OK</v>
      </c>
    </row>
    <row r="96" spans="1:33" ht="15.75" outlineLevel="1" x14ac:dyDescent="0.25">
      <c r="A96" s="9" t="s">
        <v>24</v>
      </c>
      <c r="B96" s="9" t="s">
        <v>182</v>
      </c>
      <c r="C96" s="9" t="s">
        <v>294</v>
      </c>
      <c r="D96" s="10" t="s">
        <v>153</v>
      </c>
      <c r="E96" s="98" t="s">
        <v>152</v>
      </c>
      <c r="F96" s="87">
        <v>0.32</v>
      </c>
      <c r="G96" s="81">
        <v>24.89</v>
      </c>
      <c r="H96" s="81">
        <v>56.09</v>
      </c>
      <c r="I96" s="81">
        <f t="shared" si="50"/>
        <v>80.98</v>
      </c>
      <c r="J96" s="81">
        <f t="shared" si="51"/>
        <v>25.91</v>
      </c>
      <c r="K96" s="86">
        <v>0.27760000000000001</v>
      </c>
      <c r="L96" s="81">
        <f t="shared" si="52"/>
        <v>10.17</v>
      </c>
      <c r="M96" s="81">
        <f t="shared" si="52"/>
        <v>22.93</v>
      </c>
      <c r="N96" s="81">
        <f t="shared" si="53"/>
        <v>33.1</v>
      </c>
      <c r="Q96" s="76"/>
      <c r="Z96" s="83">
        <v>0.75</v>
      </c>
      <c r="AA96" s="84">
        <f t="shared" si="54"/>
        <v>24.825000000000003</v>
      </c>
      <c r="AB96" s="83">
        <v>0.25</v>
      </c>
      <c r="AC96" s="84">
        <f t="shared" si="55"/>
        <v>8.2750000000000004</v>
      </c>
      <c r="AE96" s="85">
        <f t="shared" si="56"/>
        <v>1</v>
      </c>
      <c r="AF96" s="78">
        <f t="shared" si="48"/>
        <v>33.1</v>
      </c>
      <c r="AG96" s="68" t="str">
        <f t="shared" si="49"/>
        <v>OK</v>
      </c>
    </row>
    <row r="97" spans="1:33" ht="45" outlineLevel="1" x14ac:dyDescent="0.25">
      <c r="A97" s="9" t="s">
        <v>24</v>
      </c>
      <c r="B97" s="9" t="s">
        <v>183</v>
      </c>
      <c r="C97" s="9" t="s">
        <v>295</v>
      </c>
      <c r="D97" s="10" t="s">
        <v>154</v>
      </c>
      <c r="E97" s="9" t="s">
        <v>81</v>
      </c>
      <c r="F97" s="87">
        <v>18.96</v>
      </c>
      <c r="G97" s="81">
        <v>8.1199999999999992</v>
      </c>
      <c r="H97" s="81">
        <v>2.04</v>
      </c>
      <c r="I97" s="81">
        <f t="shared" si="50"/>
        <v>10.16</v>
      </c>
      <c r="J97" s="81">
        <f t="shared" si="51"/>
        <v>192.63</v>
      </c>
      <c r="K97" s="86">
        <v>0.27760000000000001</v>
      </c>
      <c r="L97" s="81">
        <f t="shared" ref="L97:M120" si="57">TRUNC($F97*G97*(1+$K97),2)</f>
        <v>196.69</v>
      </c>
      <c r="M97" s="81">
        <f t="shared" si="57"/>
        <v>49.41</v>
      </c>
      <c r="N97" s="81">
        <f t="shared" si="53"/>
        <v>246.1</v>
      </c>
      <c r="Q97" s="76"/>
      <c r="Z97" s="83">
        <v>0.75</v>
      </c>
      <c r="AA97" s="84">
        <f t="shared" si="54"/>
        <v>184.57499999999999</v>
      </c>
      <c r="AB97" s="83">
        <v>0.25</v>
      </c>
      <c r="AC97" s="84">
        <f t="shared" si="55"/>
        <v>61.524999999999999</v>
      </c>
      <c r="AE97" s="85">
        <f t="shared" si="56"/>
        <v>1</v>
      </c>
      <c r="AF97" s="78">
        <f t="shared" si="48"/>
        <v>246.1</v>
      </c>
      <c r="AG97" s="68" t="str">
        <f t="shared" si="49"/>
        <v>OK</v>
      </c>
    </row>
    <row r="98" spans="1:33" ht="45" outlineLevel="1" x14ac:dyDescent="0.25">
      <c r="A98" s="9" t="s">
        <v>24</v>
      </c>
      <c r="B98" s="9" t="s">
        <v>184</v>
      </c>
      <c r="C98" s="9" t="s">
        <v>296</v>
      </c>
      <c r="D98" s="10" t="s">
        <v>155</v>
      </c>
      <c r="E98" s="98" t="s">
        <v>152</v>
      </c>
      <c r="F98" s="87">
        <v>0.05</v>
      </c>
      <c r="G98" s="81">
        <f>0.64+334.18+0.62</f>
        <v>335.44</v>
      </c>
      <c r="H98" s="81">
        <v>96.3</v>
      </c>
      <c r="I98" s="81">
        <f t="shared" si="50"/>
        <v>431.74</v>
      </c>
      <c r="J98" s="81">
        <f t="shared" si="51"/>
        <v>21.58</v>
      </c>
      <c r="K98" s="86">
        <v>0.27760000000000001</v>
      </c>
      <c r="L98" s="81">
        <f t="shared" si="57"/>
        <v>21.42</v>
      </c>
      <c r="M98" s="81">
        <f t="shared" si="57"/>
        <v>6.15</v>
      </c>
      <c r="N98" s="81">
        <f t="shared" si="53"/>
        <v>27.57</v>
      </c>
      <c r="Q98" s="76"/>
      <c r="Z98" s="83">
        <v>0.75</v>
      </c>
      <c r="AA98" s="84">
        <f t="shared" si="54"/>
        <v>20.677500000000002</v>
      </c>
      <c r="AB98" s="83">
        <v>0.25</v>
      </c>
      <c r="AC98" s="84">
        <f t="shared" si="55"/>
        <v>6.8925000000000001</v>
      </c>
      <c r="AE98" s="85">
        <f t="shared" si="56"/>
        <v>1</v>
      </c>
      <c r="AF98" s="78">
        <f t="shared" si="48"/>
        <v>27.57</v>
      </c>
      <c r="AG98" s="68" t="str">
        <f t="shared" si="49"/>
        <v>OK</v>
      </c>
    </row>
    <row r="99" spans="1:33" ht="30" outlineLevel="1" x14ac:dyDescent="0.25">
      <c r="A99" s="9" t="s">
        <v>24</v>
      </c>
      <c r="B99" s="9" t="s">
        <v>185</v>
      </c>
      <c r="C99" s="9" t="s">
        <v>297</v>
      </c>
      <c r="D99" s="10" t="s">
        <v>156</v>
      </c>
      <c r="E99" s="98" t="s">
        <v>157</v>
      </c>
      <c r="F99" s="87">
        <v>10.65</v>
      </c>
      <c r="G99" s="81">
        <v>57.23</v>
      </c>
      <c r="H99" s="81">
        <v>26.59</v>
      </c>
      <c r="I99" s="81">
        <f t="shared" si="50"/>
        <v>83.82</v>
      </c>
      <c r="J99" s="81">
        <f t="shared" si="51"/>
        <v>892.68</v>
      </c>
      <c r="K99" s="86">
        <v>0.27760000000000001</v>
      </c>
      <c r="L99" s="81">
        <f t="shared" si="57"/>
        <v>778.69</v>
      </c>
      <c r="M99" s="81">
        <f t="shared" si="57"/>
        <v>361.79</v>
      </c>
      <c r="N99" s="81">
        <f t="shared" si="53"/>
        <v>1140.48</v>
      </c>
      <c r="Q99" s="76"/>
      <c r="Z99" s="83">
        <v>0.75</v>
      </c>
      <c r="AA99" s="84">
        <f t="shared" si="54"/>
        <v>855.36</v>
      </c>
      <c r="AB99" s="83">
        <v>0.25</v>
      </c>
      <c r="AC99" s="84">
        <f t="shared" si="55"/>
        <v>285.12</v>
      </c>
      <c r="AE99" s="85">
        <f t="shared" si="56"/>
        <v>1</v>
      </c>
      <c r="AF99" s="78">
        <f t="shared" si="48"/>
        <v>1140.48</v>
      </c>
      <c r="AG99" s="68" t="str">
        <f t="shared" si="49"/>
        <v>OK</v>
      </c>
    </row>
    <row r="100" spans="1:33" ht="45" outlineLevel="1" x14ac:dyDescent="0.25">
      <c r="A100" s="9" t="s">
        <v>24</v>
      </c>
      <c r="B100" s="9" t="s">
        <v>186</v>
      </c>
      <c r="C100" s="9" t="s">
        <v>298</v>
      </c>
      <c r="D100" s="10" t="s">
        <v>158</v>
      </c>
      <c r="E100" s="98" t="s">
        <v>157</v>
      </c>
      <c r="F100" s="87">
        <f>5*1.7</f>
        <v>8.5</v>
      </c>
      <c r="G100" s="81">
        <f>0.03+51.83+0.04</f>
        <v>51.9</v>
      </c>
      <c r="H100" s="81">
        <v>14.88</v>
      </c>
      <c r="I100" s="81">
        <f t="shared" si="50"/>
        <v>66.78</v>
      </c>
      <c r="J100" s="81">
        <f t="shared" si="51"/>
        <v>567.63</v>
      </c>
      <c r="K100" s="86">
        <v>0.27760000000000001</v>
      </c>
      <c r="L100" s="81">
        <f t="shared" si="57"/>
        <v>563.61</v>
      </c>
      <c r="M100" s="81">
        <f t="shared" si="57"/>
        <v>161.59</v>
      </c>
      <c r="N100" s="81">
        <f t="shared" si="53"/>
        <v>725.2</v>
      </c>
      <c r="Q100" s="76"/>
      <c r="Z100" s="83">
        <v>0.75</v>
      </c>
      <c r="AA100" s="84">
        <f t="shared" si="54"/>
        <v>543.90000000000009</v>
      </c>
      <c r="AB100" s="83">
        <v>0.25</v>
      </c>
      <c r="AC100" s="84">
        <f t="shared" si="55"/>
        <v>181.3</v>
      </c>
      <c r="AE100" s="85">
        <f t="shared" si="56"/>
        <v>1</v>
      </c>
      <c r="AF100" s="78">
        <f t="shared" si="48"/>
        <v>725.2</v>
      </c>
      <c r="AG100" s="68" t="str">
        <f t="shared" si="49"/>
        <v>OK</v>
      </c>
    </row>
    <row r="101" spans="1:33" ht="45" outlineLevel="1" x14ac:dyDescent="0.25">
      <c r="A101" s="9" t="s">
        <v>24</v>
      </c>
      <c r="B101" s="9" t="s">
        <v>187</v>
      </c>
      <c r="C101" s="9" t="s">
        <v>299</v>
      </c>
      <c r="D101" s="10" t="s">
        <v>159</v>
      </c>
      <c r="E101" s="98" t="s">
        <v>152</v>
      </c>
      <c r="F101" s="87">
        <v>0.32</v>
      </c>
      <c r="G101" s="81">
        <f>0.43+340.79+0.57</f>
        <v>341.79</v>
      </c>
      <c r="H101" s="81">
        <v>135.94999999999999</v>
      </c>
      <c r="I101" s="81">
        <f t="shared" si="50"/>
        <v>477.74</v>
      </c>
      <c r="J101" s="81">
        <f t="shared" si="51"/>
        <v>152.87</v>
      </c>
      <c r="K101" s="86">
        <v>0.27760000000000001</v>
      </c>
      <c r="L101" s="81">
        <f t="shared" si="57"/>
        <v>139.72999999999999</v>
      </c>
      <c r="M101" s="81">
        <f t="shared" si="57"/>
        <v>55.58</v>
      </c>
      <c r="N101" s="81">
        <f t="shared" si="53"/>
        <v>195.31</v>
      </c>
      <c r="Q101" s="76"/>
      <c r="Z101" s="83">
        <v>0.75</v>
      </c>
      <c r="AA101" s="84">
        <f t="shared" si="54"/>
        <v>146.48250000000002</v>
      </c>
      <c r="AB101" s="83">
        <v>0.25</v>
      </c>
      <c r="AC101" s="84">
        <f t="shared" si="55"/>
        <v>48.827500000000001</v>
      </c>
      <c r="AE101" s="85">
        <f t="shared" si="56"/>
        <v>1</v>
      </c>
      <c r="AF101" s="78">
        <f t="shared" si="48"/>
        <v>195.31</v>
      </c>
      <c r="AG101" s="68" t="str">
        <f t="shared" si="49"/>
        <v>OK</v>
      </c>
    </row>
    <row r="102" spans="1:33" ht="30" outlineLevel="1" x14ac:dyDescent="0.25">
      <c r="A102" s="9" t="s">
        <v>24</v>
      </c>
      <c r="B102" s="9" t="s">
        <v>188</v>
      </c>
      <c r="C102" s="9" t="s">
        <v>300</v>
      </c>
      <c r="D102" s="10" t="s">
        <v>160</v>
      </c>
      <c r="E102" s="98" t="s">
        <v>157</v>
      </c>
      <c r="F102" s="87">
        <v>1.28</v>
      </c>
      <c r="G102" s="81">
        <f>62.1+0.15</f>
        <v>62.25</v>
      </c>
      <c r="H102" s="81">
        <v>31.34</v>
      </c>
      <c r="I102" s="81">
        <f t="shared" si="50"/>
        <v>93.59</v>
      </c>
      <c r="J102" s="81">
        <f t="shared" si="51"/>
        <v>119.79</v>
      </c>
      <c r="K102" s="86">
        <v>0.27760000000000001</v>
      </c>
      <c r="L102" s="81">
        <f t="shared" si="57"/>
        <v>101.79</v>
      </c>
      <c r="M102" s="81">
        <f t="shared" si="57"/>
        <v>51.25</v>
      </c>
      <c r="N102" s="81">
        <f t="shared" si="53"/>
        <v>153.04000000000002</v>
      </c>
      <c r="Q102" s="76"/>
      <c r="Z102" s="83">
        <v>0.75</v>
      </c>
      <c r="AA102" s="84">
        <f t="shared" si="54"/>
        <v>114.78000000000002</v>
      </c>
      <c r="AB102" s="83">
        <v>0.25</v>
      </c>
      <c r="AC102" s="84">
        <f t="shared" si="55"/>
        <v>38.260000000000005</v>
      </c>
      <c r="AE102" s="85">
        <f t="shared" si="56"/>
        <v>1</v>
      </c>
      <c r="AF102" s="78">
        <f t="shared" si="48"/>
        <v>153.04000000000002</v>
      </c>
      <c r="AG102" s="68" t="str">
        <f t="shared" si="49"/>
        <v>OK</v>
      </c>
    </row>
    <row r="103" spans="1:33" ht="30" outlineLevel="1" x14ac:dyDescent="0.25">
      <c r="A103" s="9" t="s">
        <v>24</v>
      </c>
      <c r="B103" s="9" t="s">
        <v>189</v>
      </c>
      <c r="C103" s="9" t="s">
        <v>301</v>
      </c>
      <c r="D103" s="10" t="s">
        <v>161</v>
      </c>
      <c r="E103" s="9" t="s">
        <v>81</v>
      </c>
      <c r="F103" s="87">
        <v>66.36</v>
      </c>
      <c r="G103" s="81">
        <v>8.14</v>
      </c>
      <c r="H103" s="81">
        <v>2.02</v>
      </c>
      <c r="I103" s="81">
        <f t="shared" si="50"/>
        <v>10.16</v>
      </c>
      <c r="J103" s="81">
        <f t="shared" si="51"/>
        <v>674.21</v>
      </c>
      <c r="K103" s="86">
        <v>0.27760000000000001</v>
      </c>
      <c r="L103" s="81">
        <f t="shared" si="57"/>
        <v>690.12</v>
      </c>
      <c r="M103" s="81">
        <f t="shared" si="57"/>
        <v>171.25</v>
      </c>
      <c r="N103" s="81">
        <f t="shared" si="53"/>
        <v>861.37</v>
      </c>
      <c r="Q103" s="76"/>
      <c r="Z103" s="83">
        <v>0.75</v>
      </c>
      <c r="AA103" s="84">
        <f t="shared" si="54"/>
        <v>646.02750000000003</v>
      </c>
      <c r="AB103" s="83">
        <v>0.25</v>
      </c>
      <c r="AC103" s="84">
        <f t="shared" si="55"/>
        <v>215.3425</v>
      </c>
      <c r="AE103" s="85">
        <f t="shared" si="56"/>
        <v>1</v>
      </c>
      <c r="AF103" s="78">
        <f t="shared" si="48"/>
        <v>861.37</v>
      </c>
      <c r="AG103" s="68" t="str">
        <f t="shared" si="49"/>
        <v>OK</v>
      </c>
    </row>
    <row r="104" spans="1:33" ht="45" outlineLevel="1" x14ac:dyDescent="0.25">
      <c r="A104" s="9" t="s">
        <v>24</v>
      </c>
      <c r="B104" s="9" t="s">
        <v>190</v>
      </c>
      <c r="C104" s="9" t="s">
        <v>299</v>
      </c>
      <c r="D104" s="10" t="s">
        <v>162</v>
      </c>
      <c r="E104" s="9" t="s">
        <v>152</v>
      </c>
      <c r="F104" s="87">
        <f>5*1.6*0.05</f>
        <v>0.4</v>
      </c>
      <c r="G104" s="81">
        <f>0.43+340.79+0.57</f>
        <v>341.79</v>
      </c>
      <c r="H104" s="81">
        <v>135.94999999999999</v>
      </c>
      <c r="I104" s="81">
        <f t="shared" si="50"/>
        <v>477.74</v>
      </c>
      <c r="J104" s="81">
        <f t="shared" si="51"/>
        <v>191.09</v>
      </c>
      <c r="K104" s="86">
        <v>0.27760000000000001</v>
      </c>
      <c r="L104" s="81">
        <f t="shared" si="57"/>
        <v>174.66</v>
      </c>
      <c r="M104" s="81">
        <f t="shared" si="57"/>
        <v>69.47</v>
      </c>
      <c r="N104" s="81">
        <f t="shared" si="53"/>
        <v>244.13</v>
      </c>
      <c r="Q104" s="76"/>
      <c r="Z104" s="83">
        <v>0.75</v>
      </c>
      <c r="AA104" s="84">
        <f t="shared" si="54"/>
        <v>183.0975</v>
      </c>
      <c r="AB104" s="83">
        <v>0.25</v>
      </c>
      <c r="AC104" s="84">
        <f t="shared" si="55"/>
        <v>61.032499999999999</v>
      </c>
      <c r="AE104" s="85">
        <f t="shared" si="56"/>
        <v>1</v>
      </c>
      <c r="AF104" s="78">
        <f t="shared" si="48"/>
        <v>244.13</v>
      </c>
      <c r="AG104" s="68" t="str">
        <f t="shared" si="49"/>
        <v>OK</v>
      </c>
    </row>
    <row r="105" spans="1:33" ht="30" outlineLevel="1" x14ac:dyDescent="0.25">
      <c r="A105" s="9" t="s">
        <v>24</v>
      </c>
      <c r="B105" s="9" t="s">
        <v>191</v>
      </c>
      <c r="C105" s="9" t="s">
        <v>302</v>
      </c>
      <c r="D105" s="10" t="s">
        <v>163</v>
      </c>
      <c r="E105" s="98" t="s">
        <v>152</v>
      </c>
      <c r="F105" s="87">
        <v>0.128</v>
      </c>
      <c r="G105" s="81">
        <f>2.34+330.04+1.65</f>
        <v>334.03</v>
      </c>
      <c r="H105" s="81">
        <v>93.52</v>
      </c>
      <c r="I105" s="81">
        <f t="shared" si="50"/>
        <v>427.54999999999995</v>
      </c>
      <c r="J105" s="81">
        <f t="shared" si="51"/>
        <v>54.72</v>
      </c>
      <c r="K105" s="86">
        <v>0.27760000000000001</v>
      </c>
      <c r="L105" s="81">
        <f t="shared" si="57"/>
        <v>54.62</v>
      </c>
      <c r="M105" s="81">
        <f t="shared" si="57"/>
        <v>15.29</v>
      </c>
      <c r="N105" s="81">
        <f t="shared" si="53"/>
        <v>69.91</v>
      </c>
      <c r="Q105" s="76"/>
      <c r="Z105" s="83">
        <v>0.75</v>
      </c>
      <c r="AA105" s="84">
        <f t="shared" si="54"/>
        <v>52.432499999999997</v>
      </c>
      <c r="AB105" s="83">
        <v>0.25</v>
      </c>
      <c r="AC105" s="84">
        <f t="shared" si="55"/>
        <v>17.477499999999999</v>
      </c>
      <c r="AE105" s="85">
        <f t="shared" si="56"/>
        <v>1</v>
      </c>
      <c r="AF105" s="78">
        <f t="shared" si="48"/>
        <v>69.91</v>
      </c>
      <c r="AG105" s="68" t="str">
        <f t="shared" si="49"/>
        <v>OK</v>
      </c>
    </row>
    <row r="106" spans="1:33" ht="45" outlineLevel="1" x14ac:dyDescent="0.25">
      <c r="A106" s="9" t="s">
        <v>24</v>
      </c>
      <c r="B106" s="9" t="s">
        <v>192</v>
      </c>
      <c r="C106" s="9" t="s">
        <v>303</v>
      </c>
      <c r="D106" s="10" t="s">
        <v>164</v>
      </c>
      <c r="E106" s="98" t="s">
        <v>157</v>
      </c>
      <c r="F106" s="87">
        <v>8.9499999999999993</v>
      </c>
      <c r="G106" s="81">
        <v>37.29</v>
      </c>
      <c r="H106" s="81">
        <v>15.77</v>
      </c>
      <c r="I106" s="81">
        <f t="shared" si="50"/>
        <v>53.06</v>
      </c>
      <c r="J106" s="81">
        <f t="shared" si="51"/>
        <v>474.88</v>
      </c>
      <c r="K106" s="86">
        <v>0.27760000000000001</v>
      </c>
      <c r="L106" s="81">
        <f t="shared" si="57"/>
        <v>426.39</v>
      </c>
      <c r="M106" s="81">
        <f t="shared" si="57"/>
        <v>180.32</v>
      </c>
      <c r="N106" s="81">
        <f t="shared" si="53"/>
        <v>606.71</v>
      </c>
      <c r="Q106" s="76"/>
      <c r="Z106" s="83">
        <v>0.75</v>
      </c>
      <c r="AA106" s="84">
        <f t="shared" si="54"/>
        <v>455.03250000000003</v>
      </c>
      <c r="AB106" s="83">
        <v>0.25</v>
      </c>
      <c r="AC106" s="84">
        <f t="shared" si="55"/>
        <v>151.67750000000001</v>
      </c>
      <c r="AE106" s="85">
        <f t="shared" si="56"/>
        <v>1</v>
      </c>
      <c r="AF106" s="78">
        <f t="shared" si="48"/>
        <v>606.71</v>
      </c>
      <c r="AG106" s="68" t="str">
        <f t="shared" si="49"/>
        <v>OK</v>
      </c>
    </row>
    <row r="107" spans="1:33" ht="30" outlineLevel="1" x14ac:dyDescent="0.25">
      <c r="A107" s="9" t="s">
        <v>24</v>
      </c>
      <c r="B107" s="9" t="s">
        <v>193</v>
      </c>
      <c r="C107" s="9" t="s">
        <v>304</v>
      </c>
      <c r="D107" s="10" t="s">
        <v>165</v>
      </c>
      <c r="E107" s="98" t="s">
        <v>157</v>
      </c>
      <c r="F107" s="87">
        <f>3.4*2*2.3</f>
        <v>15.639999999999999</v>
      </c>
      <c r="G107" s="81">
        <v>1.45</v>
      </c>
      <c r="H107" s="81">
        <v>1.21</v>
      </c>
      <c r="I107" s="81">
        <f t="shared" si="50"/>
        <v>2.66</v>
      </c>
      <c r="J107" s="81">
        <f t="shared" si="51"/>
        <v>41.6</v>
      </c>
      <c r="K107" s="86">
        <v>0.27760000000000001</v>
      </c>
      <c r="L107" s="81">
        <f t="shared" si="57"/>
        <v>28.97</v>
      </c>
      <c r="M107" s="81">
        <f t="shared" si="57"/>
        <v>24.17</v>
      </c>
      <c r="N107" s="81">
        <f t="shared" si="53"/>
        <v>53.14</v>
      </c>
      <c r="Q107" s="76"/>
      <c r="Z107" s="83">
        <v>0.75</v>
      </c>
      <c r="AA107" s="84">
        <f t="shared" si="54"/>
        <v>39.855000000000004</v>
      </c>
      <c r="AB107" s="83">
        <v>0.25</v>
      </c>
      <c r="AC107" s="84">
        <f t="shared" si="55"/>
        <v>13.285</v>
      </c>
      <c r="AE107" s="85">
        <f t="shared" si="56"/>
        <v>1</v>
      </c>
      <c r="AF107" s="78">
        <f t="shared" si="48"/>
        <v>53.14</v>
      </c>
      <c r="AG107" s="68" t="str">
        <f t="shared" si="49"/>
        <v>OK</v>
      </c>
    </row>
    <row r="108" spans="1:33" ht="45" outlineLevel="1" x14ac:dyDescent="0.25">
      <c r="A108" s="9" t="s">
        <v>24</v>
      </c>
      <c r="B108" s="9" t="s">
        <v>194</v>
      </c>
      <c r="C108" s="9" t="s">
        <v>305</v>
      </c>
      <c r="D108" s="10" t="s">
        <v>166</v>
      </c>
      <c r="E108" s="98" t="s">
        <v>157</v>
      </c>
      <c r="F108" s="87">
        <f>3.4*2*2.3</f>
        <v>15.639999999999999</v>
      </c>
      <c r="G108" s="81">
        <v>18.690000000000001</v>
      </c>
      <c r="H108" s="81">
        <v>20.04</v>
      </c>
      <c r="I108" s="81">
        <f t="shared" si="50"/>
        <v>38.730000000000004</v>
      </c>
      <c r="J108" s="81">
        <f t="shared" si="51"/>
        <v>605.73</v>
      </c>
      <c r="K108" s="86">
        <v>0.27760000000000001</v>
      </c>
      <c r="L108" s="81">
        <f t="shared" si="57"/>
        <v>373.45</v>
      </c>
      <c r="M108" s="81">
        <f t="shared" si="57"/>
        <v>400.43</v>
      </c>
      <c r="N108" s="81">
        <f t="shared" si="53"/>
        <v>773.88</v>
      </c>
      <c r="Q108" s="76"/>
      <c r="Z108" s="83">
        <v>0.75</v>
      </c>
      <c r="AA108" s="84">
        <f t="shared" si="54"/>
        <v>580.41</v>
      </c>
      <c r="AB108" s="83">
        <v>0.25</v>
      </c>
      <c r="AC108" s="84">
        <f t="shared" si="55"/>
        <v>193.47</v>
      </c>
      <c r="AE108" s="85">
        <f t="shared" si="56"/>
        <v>1</v>
      </c>
      <c r="AF108" s="78">
        <f t="shared" si="48"/>
        <v>773.88</v>
      </c>
      <c r="AG108" s="68" t="str">
        <f t="shared" si="49"/>
        <v>OK</v>
      </c>
    </row>
    <row r="109" spans="1:33" ht="30" outlineLevel="1" x14ac:dyDescent="0.25">
      <c r="A109" s="9" t="s">
        <v>24</v>
      </c>
      <c r="B109" s="9" t="s">
        <v>195</v>
      </c>
      <c r="C109" s="9" t="s">
        <v>306</v>
      </c>
      <c r="D109" s="10" t="s">
        <v>167</v>
      </c>
      <c r="E109" s="98" t="s">
        <v>152</v>
      </c>
      <c r="F109" s="87">
        <v>0.64</v>
      </c>
      <c r="G109" s="81">
        <f>0.48+323.43+0.7</f>
        <v>324.61</v>
      </c>
      <c r="H109" s="81">
        <v>123</v>
      </c>
      <c r="I109" s="81">
        <f t="shared" si="50"/>
        <v>447.61</v>
      </c>
      <c r="J109" s="81">
        <f t="shared" si="51"/>
        <v>286.47000000000003</v>
      </c>
      <c r="K109" s="86">
        <v>0.27760000000000001</v>
      </c>
      <c r="L109" s="81">
        <f t="shared" si="57"/>
        <v>265.42</v>
      </c>
      <c r="M109" s="81">
        <f t="shared" si="57"/>
        <v>100.57</v>
      </c>
      <c r="N109" s="81">
        <f t="shared" si="53"/>
        <v>365.99</v>
      </c>
      <c r="Q109" s="76"/>
      <c r="Z109" s="83">
        <v>0.75</v>
      </c>
      <c r="AA109" s="84">
        <f t="shared" si="54"/>
        <v>274.49250000000001</v>
      </c>
      <c r="AB109" s="83">
        <v>0.25</v>
      </c>
      <c r="AC109" s="84">
        <f t="shared" si="55"/>
        <v>91.497500000000002</v>
      </c>
      <c r="AE109" s="85">
        <f t="shared" si="56"/>
        <v>1</v>
      </c>
      <c r="AF109" s="78">
        <f t="shared" si="48"/>
        <v>365.99</v>
      </c>
      <c r="AG109" s="68" t="str">
        <f t="shared" si="49"/>
        <v>OK</v>
      </c>
    </row>
    <row r="110" spans="1:33" ht="30" outlineLevel="1" x14ac:dyDescent="0.25">
      <c r="A110" s="9" t="s">
        <v>24</v>
      </c>
      <c r="B110" s="9" t="s">
        <v>196</v>
      </c>
      <c r="C110" s="9" t="s">
        <v>307</v>
      </c>
      <c r="D110" s="10" t="s">
        <v>168</v>
      </c>
      <c r="E110" s="98" t="s">
        <v>157</v>
      </c>
      <c r="F110" s="87">
        <v>6.02</v>
      </c>
      <c r="G110" s="81">
        <f>0.02+15.02+0.02</f>
        <v>15.059999999999999</v>
      </c>
      <c r="H110" s="81">
        <v>8.01</v>
      </c>
      <c r="I110" s="81">
        <f t="shared" si="50"/>
        <v>23.07</v>
      </c>
      <c r="J110" s="81">
        <f t="shared" si="51"/>
        <v>138.88</v>
      </c>
      <c r="K110" s="86">
        <v>0.27760000000000001</v>
      </c>
      <c r="L110" s="81">
        <f t="shared" si="57"/>
        <v>115.82</v>
      </c>
      <c r="M110" s="81">
        <f t="shared" si="57"/>
        <v>61.6</v>
      </c>
      <c r="N110" s="81">
        <f t="shared" si="53"/>
        <v>177.42</v>
      </c>
      <c r="Q110" s="76"/>
      <c r="Z110" s="83">
        <v>0.75</v>
      </c>
      <c r="AA110" s="84">
        <f t="shared" si="54"/>
        <v>133.065</v>
      </c>
      <c r="AB110" s="83">
        <v>0.25</v>
      </c>
      <c r="AC110" s="84">
        <f t="shared" si="55"/>
        <v>44.354999999999997</v>
      </c>
      <c r="AE110" s="85">
        <f t="shared" si="56"/>
        <v>1</v>
      </c>
      <c r="AF110" s="78">
        <f t="shared" si="48"/>
        <v>177.42</v>
      </c>
      <c r="AG110" s="68" t="str">
        <f t="shared" si="49"/>
        <v>OK</v>
      </c>
    </row>
    <row r="111" spans="1:33" ht="30" outlineLevel="1" x14ac:dyDescent="0.25">
      <c r="A111" s="9" t="s">
        <v>24</v>
      </c>
      <c r="B111" s="9" t="s">
        <v>197</v>
      </c>
      <c r="C111" s="9" t="s">
        <v>308</v>
      </c>
      <c r="D111" s="10" t="s">
        <v>169</v>
      </c>
      <c r="E111" s="9" t="s">
        <v>150</v>
      </c>
      <c r="F111" s="87">
        <v>1</v>
      </c>
      <c r="G111" s="81">
        <v>22.94</v>
      </c>
      <c r="H111" s="81">
        <v>11.58</v>
      </c>
      <c r="I111" s="81">
        <f t="shared" si="50"/>
        <v>34.520000000000003</v>
      </c>
      <c r="J111" s="81">
        <f t="shared" si="51"/>
        <v>34.520000000000003</v>
      </c>
      <c r="K111" s="86">
        <v>0.27760000000000001</v>
      </c>
      <c r="L111" s="81">
        <f t="shared" si="57"/>
        <v>29.3</v>
      </c>
      <c r="M111" s="81">
        <f t="shared" si="57"/>
        <v>14.79</v>
      </c>
      <c r="N111" s="81">
        <f t="shared" si="53"/>
        <v>44.09</v>
      </c>
      <c r="Q111" s="76"/>
      <c r="Z111" s="83">
        <v>0.75</v>
      </c>
      <c r="AA111" s="84">
        <f t="shared" si="54"/>
        <v>33.067500000000003</v>
      </c>
      <c r="AB111" s="83">
        <v>0.25</v>
      </c>
      <c r="AC111" s="84">
        <f t="shared" si="55"/>
        <v>11.022500000000001</v>
      </c>
      <c r="AE111" s="85">
        <f t="shared" si="56"/>
        <v>1</v>
      </c>
      <c r="AF111" s="78">
        <f t="shared" si="48"/>
        <v>44.09</v>
      </c>
      <c r="AG111" s="68" t="str">
        <f t="shared" si="49"/>
        <v>OK</v>
      </c>
    </row>
    <row r="112" spans="1:33" ht="30" outlineLevel="1" x14ac:dyDescent="0.25">
      <c r="A112" s="9" t="s">
        <v>24</v>
      </c>
      <c r="B112" s="9" t="s">
        <v>198</v>
      </c>
      <c r="C112" s="9" t="s">
        <v>309</v>
      </c>
      <c r="D112" s="10" t="s">
        <v>170</v>
      </c>
      <c r="E112" s="9" t="s">
        <v>150</v>
      </c>
      <c r="F112" s="87">
        <v>1</v>
      </c>
      <c r="G112" s="81">
        <v>69.45</v>
      </c>
      <c r="H112" s="81">
        <v>7.58</v>
      </c>
      <c r="I112" s="81">
        <f t="shared" si="50"/>
        <v>77.03</v>
      </c>
      <c r="J112" s="81">
        <f t="shared" si="51"/>
        <v>77.03</v>
      </c>
      <c r="K112" s="86">
        <v>0.27760000000000001</v>
      </c>
      <c r="L112" s="81">
        <f t="shared" si="57"/>
        <v>88.72</v>
      </c>
      <c r="M112" s="81">
        <f t="shared" si="57"/>
        <v>9.68</v>
      </c>
      <c r="N112" s="81">
        <f t="shared" si="53"/>
        <v>98.4</v>
      </c>
      <c r="Q112" s="76"/>
      <c r="Z112" s="83">
        <v>0.75</v>
      </c>
      <c r="AA112" s="84">
        <f t="shared" si="54"/>
        <v>73.800000000000011</v>
      </c>
      <c r="AB112" s="83">
        <v>0.25</v>
      </c>
      <c r="AC112" s="84">
        <f t="shared" si="55"/>
        <v>24.6</v>
      </c>
      <c r="AE112" s="85">
        <f t="shared" si="56"/>
        <v>1</v>
      </c>
      <c r="AF112" s="78">
        <f t="shared" si="48"/>
        <v>98.4</v>
      </c>
      <c r="AG112" s="68" t="str">
        <f t="shared" si="49"/>
        <v>OK</v>
      </c>
    </row>
    <row r="113" spans="1:33" ht="30" outlineLevel="1" x14ac:dyDescent="0.25">
      <c r="A113" s="9" t="s">
        <v>24</v>
      </c>
      <c r="B113" s="9" t="s">
        <v>199</v>
      </c>
      <c r="C113" s="9" t="s">
        <v>412</v>
      </c>
      <c r="D113" s="10" t="s">
        <v>413</v>
      </c>
      <c r="E113" s="9" t="s">
        <v>150</v>
      </c>
      <c r="F113" s="87">
        <v>5.5</v>
      </c>
      <c r="G113" s="81">
        <v>526.66</v>
      </c>
      <c r="H113" s="81">
        <v>136.22</v>
      </c>
      <c r="I113" s="81">
        <f t="shared" si="50"/>
        <v>662.88</v>
      </c>
      <c r="J113" s="81">
        <f t="shared" si="51"/>
        <v>3645.84</v>
      </c>
      <c r="K113" s="86">
        <v>0.27760000000000001</v>
      </c>
      <c r="L113" s="81">
        <f t="shared" si="57"/>
        <v>3700.73</v>
      </c>
      <c r="M113" s="81">
        <f t="shared" si="57"/>
        <v>957.19</v>
      </c>
      <c r="N113" s="81">
        <f t="shared" si="53"/>
        <v>4657.92</v>
      </c>
      <c r="Q113" s="76"/>
      <c r="Z113" s="83">
        <v>0.75</v>
      </c>
      <c r="AA113" s="84">
        <f t="shared" si="54"/>
        <v>3493.44</v>
      </c>
      <c r="AB113" s="83">
        <v>0.25</v>
      </c>
      <c r="AC113" s="84">
        <f t="shared" si="55"/>
        <v>1164.48</v>
      </c>
      <c r="AE113" s="85">
        <f t="shared" si="56"/>
        <v>1</v>
      </c>
      <c r="AF113" s="78">
        <f t="shared" si="48"/>
        <v>4657.92</v>
      </c>
      <c r="AG113" s="68" t="str">
        <f t="shared" si="49"/>
        <v>OK</v>
      </c>
    </row>
    <row r="114" spans="1:33" ht="30" outlineLevel="1" x14ac:dyDescent="0.25">
      <c r="A114" s="9" t="s">
        <v>24</v>
      </c>
      <c r="B114" s="9" t="s">
        <v>200</v>
      </c>
      <c r="C114" s="9" t="s">
        <v>310</v>
      </c>
      <c r="D114" s="10" t="s">
        <v>171</v>
      </c>
      <c r="E114" s="9" t="s">
        <v>17</v>
      </c>
      <c r="F114" s="87">
        <v>50</v>
      </c>
      <c r="G114" s="81">
        <v>4.66</v>
      </c>
      <c r="H114" s="81">
        <v>2.69</v>
      </c>
      <c r="I114" s="81">
        <f t="shared" si="50"/>
        <v>7.35</v>
      </c>
      <c r="J114" s="81">
        <f t="shared" si="51"/>
        <v>367.5</v>
      </c>
      <c r="K114" s="86">
        <v>0.27760000000000001</v>
      </c>
      <c r="L114" s="81">
        <f t="shared" si="57"/>
        <v>297.68</v>
      </c>
      <c r="M114" s="81">
        <f t="shared" si="57"/>
        <v>171.83</v>
      </c>
      <c r="N114" s="81">
        <f t="shared" si="53"/>
        <v>469.51</v>
      </c>
      <c r="Q114" s="76"/>
      <c r="Z114" s="83">
        <v>0.75</v>
      </c>
      <c r="AA114" s="84">
        <f t="shared" si="54"/>
        <v>352.13249999999999</v>
      </c>
      <c r="AB114" s="83">
        <v>0.25</v>
      </c>
      <c r="AC114" s="84">
        <f t="shared" si="55"/>
        <v>117.3775</v>
      </c>
      <c r="AE114" s="85">
        <f t="shared" si="56"/>
        <v>1</v>
      </c>
      <c r="AF114" s="78">
        <f t="shared" si="48"/>
        <v>469.51</v>
      </c>
      <c r="AG114" s="68" t="str">
        <f t="shared" si="49"/>
        <v>OK</v>
      </c>
    </row>
    <row r="115" spans="1:33" ht="30" outlineLevel="1" x14ac:dyDescent="0.25">
      <c r="A115" s="9" t="s">
        <v>24</v>
      </c>
      <c r="B115" s="9" t="s">
        <v>201</v>
      </c>
      <c r="C115" s="9" t="s">
        <v>311</v>
      </c>
      <c r="D115" s="10" t="s">
        <v>172</v>
      </c>
      <c r="E115" s="9" t="s">
        <v>17</v>
      </c>
      <c r="F115" s="87">
        <v>100</v>
      </c>
      <c r="G115" s="81">
        <v>1.61</v>
      </c>
      <c r="H115" s="81">
        <v>0.63</v>
      </c>
      <c r="I115" s="81">
        <f t="shared" si="50"/>
        <v>2.2400000000000002</v>
      </c>
      <c r="J115" s="81">
        <f t="shared" si="51"/>
        <v>224</v>
      </c>
      <c r="K115" s="86">
        <v>0.27760000000000001</v>
      </c>
      <c r="L115" s="81">
        <f t="shared" si="57"/>
        <v>205.69</v>
      </c>
      <c r="M115" s="81">
        <f t="shared" si="57"/>
        <v>80.48</v>
      </c>
      <c r="N115" s="81">
        <f t="shared" si="53"/>
        <v>286.17</v>
      </c>
      <c r="Q115" s="76"/>
      <c r="Z115" s="83">
        <v>0.75</v>
      </c>
      <c r="AA115" s="84">
        <f t="shared" si="54"/>
        <v>214.6275</v>
      </c>
      <c r="AB115" s="83">
        <v>0.25</v>
      </c>
      <c r="AC115" s="84">
        <f t="shared" si="55"/>
        <v>71.542500000000004</v>
      </c>
      <c r="AE115" s="85">
        <f t="shared" si="56"/>
        <v>1</v>
      </c>
      <c r="AF115" s="78">
        <f t="shared" si="48"/>
        <v>286.17</v>
      </c>
      <c r="AG115" s="68" t="str">
        <f t="shared" si="49"/>
        <v>OK</v>
      </c>
    </row>
    <row r="116" spans="1:33" outlineLevel="1" x14ac:dyDescent="0.25">
      <c r="A116" s="9" t="s">
        <v>24</v>
      </c>
      <c r="B116" s="9" t="s">
        <v>202</v>
      </c>
      <c r="C116" s="9" t="s">
        <v>312</v>
      </c>
      <c r="D116" s="10" t="s">
        <v>173</v>
      </c>
      <c r="E116" s="9" t="s">
        <v>157</v>
      </c>
      <c r="F116" s="87">
        <v>30</v>
      </c>
      <c r="G116" s="81">
        <v>2.16</v>
      </c>
      <c r="H116" s="81">
        <v>0.41</v>
      </c>
      <c r="I116" s="81">
        <f t="shared" si="50"/>
        <v>2.5700000000000003</v>
      </c>
      <c r="J116" s="81">
        <f t="shared" si="51"/>
        <v>77.099999999999994</v>
      </c>
      <c r="K116" s="86">
        <v>0.27760000000000001</v>
      </c>
      <c r="L116" s="81">
        <f t="shared" si="57"/>
        <v>82.78</v>
      </c>
      <c r="M116" s="81">
        <f t="shared" si="57"/>
        <v>15.71</v>
      </c>
      <c r="N116" s="81">
        <f t="shared" si="53"/>
        <v>98.490000000000009</v>
      </c>
      <c r="Q116" s="76"/>
      <c r="Z116" s="83">
        <v>0.75</v>
      </c>
      <c r="AA116" s="84">
        <f t="shared" si="54"/>
        <v>73.867500000000007</v>
      </c>
      <c r="AB116" s="83">
        <v>0.25</v>
      </c>
      <c r="AC116" s="84">
        <f t="shared" si="55"/>
        <v>24.622500000000002</v>
      </c>
      <c r="AE116" s="85">
        <f t="shared" si="56"/>
        <v>1</v>
      </c>
      <c r="AF116" s="78">
        <f t="shared" si="48"/>
        <v>98.490000000000009</v>
      </c>
      <c r="AG116" s="68" t="str">
        <f t="shared" si="49"/>
        <v>OK</v>
      </c>
    </row>
    <row r="117" spans="1:33" ht="30" outlineLevel="1" x14ac:dyDescent="0.25">
      <c r="A117" s="9" t="s">
        <v>24</v>
      </c>
      <c r="B117" s="9" t="s">
        <v>203</v>
      </c>
      <c r="C117" s="9" t="s">
        <v>313</v>
      </c>
      <c r="D117" s="10" t="s">
        <v>174</v>
      </c>
      <c r="E117" s="9" t="s">
        <v>157</v>
      </c>
      <c r="F117" s="87">
        <v>15.84</v>
      </c>
      <c r="G117" s="81">
        <v>11.28</v>
      </c>
      <c r="H117" s="81">
        <v>3.57</v>
      </c>
      <c r="I117" s="81">
        <f t="shared" si="50"/>
        <v>14.85</v>
      </c>
      <c r="J117" s="81">
        <f t="shared" si="51"/>
        <v>235.22</v>
      </c>
      <c r="K117" s="86">
        <v>0.27760000000000001</v>
      </c>
      <c r="L117" s="81">
        <f t="shared" si="57"/>
        <v>228.27</v>
      </c>
      <c r="M117" s="81">
        <f t="shared" si="57"/>
        <v>72.239999999999995</v>
      </c>
      <c r="N117" s="81">
        <f t="shared" si="53"/>
        <v>300.51</v>
      </c>
      <c r="Q117" s="76"/>
      <c r="Z117" s="83">
        <v>0.75</v>
      </c>
      <c r="AA117" s="84">
        <f t="shared" si="54"/>
        <v>225.38249999999999</v>
      </c>
      <c r="AB117" s="83">
        <v>0.25</v>
      </c>
      <c r="AC117" s="84">
        <f t="shared" si="55"/>
        <v>75.127499999999998</v>
      </c>
      <c r="AE117" s="85">
        <f t="shared" si="56"/>
        <v>1</v>
      </c>
      <c r="AF117" s="78">
        <f t="shared" si="48"/>
        <v>300.51</v>
      </c>
      <c r="AG117" s="68" t="str">
        <f t="shared" si="49"/>
        <v>OK</v>
      </c>
    </row>
    <row r="118" spans="1:33" outlineLevel="1" x14ac:dyDescent="0.25">
      <c r="A118" s="9" t="s">
        <v>24</v>
      </c>
      <c r="B118" s="9" t="s">
        <v>204</v>
      </c>
      <c r="C118" s="9" t="s">
        <v>314</v>
      </c>
      <c r="D118" s="10" t="s">
        <v>175</v>
      </c>
      <c r="E118" s="9" t="s">
        <v>157</v>
      </c>
      <c r="F118" s="87">
        <v>30</v>
      </c>
      <c r="G118" s="81">
        <v>7.79</v>
      </c>
      <c r="H118" s="81">
        <v>2.95</v>
      </c>
      <c r="I118" s="81">
        <f t="shared" si="50"/>
        <v>10.74</v>
      </c>
      <c r="J118" s="81">
        <f t="shared" si="51"/>
        <v>322.2</v>
      </c>
      <c r="K118" s="86">
        <v>0.27760000000000001</v>
      </c>
      <c r="L118" s="81">
        <f t="shared" si="57"/>
        <v>298.57</v>
      </c>
      <c r="M118" s="81">
        <f t="shared" si="57"/>
        <v>113.06</v>
      </c>
      <c r="N118" s="81">
        <f t="shared" si="53"/>
        <v>411.63</v>
      </c>
      <c r="Q118" s="76"/>
      <c r="Z118" s="83">
        <v>0.75</v>
      </c>
      <c r="AA118" s="84">
        <f t="shared" si="54"/>
        <v>308.72249999999997</v>
      </c>
      <c r="AB118" s="83">
        <v>0.25</v>
      </c>
      <c r="AC118" s="84">
        <f t="shared" si="55"/>
        <v>102.9075</v>
      </c>
      <c r="AE118" s="85">
        <f t="shared" si="56"/>
        <v>1</v>
      </c>
      <c r="AF118" s="78">
        <f t="shared" si="48"/>
        <v>411.63</v>
      </c>
      <c r="AG118" s="68" t="str">
        <f t="shared" si="49"/>
        <v>OK</v>
      </c>
    </row>
    <row r="119" spans="1:33" ht="45" outlineLevel="1" x14ac:dyDescent="0.25">
      <c r="A119" s="9" t="s">
        <v>24</v>
      </c>
      <c r="B119" s="9" t="s">
        <v>205</v>
      </c>
      <c r="C119" s="9" t="s">
        <v>315</v>
      </c>
      <c r="D119" s="10" t="s">
        <v>176</v>
      </c>
      <c r="E119" s="9" t="s">
        <v>157</v>
      </c>
      <c r="F119" s="87">
        <v>10.61</v>
      </c>
      <c r="G119" s="81">
        <v>4.7</v>
      </c>
      <c r="H119" s="81">
        <v>3.69</v>
      </c>
      <c r="I119" s="81">
        <f t="shared" si="50"/>
        <v>8.39</v>
      </c>
      <c r="J119" s="81">
        <f t="shared" si="51"/>
        <v>89.01</v>
      </c>
      <c r="K119" s="86">
        <v>0.27760000000000001</v>
      </c>
      <c r="L119" s="81">
        <f t="shared" si="57"/>
        <v>63.71</v>
      </c>
      <c r="M119" s="81">
        <f t="shared" si="57"/>
        <v>50.01</v>
      </c>
      <c r="N119" s="81">
        <f t="shared" si="53"/>
        <v>113.72</v>
      </c>
      <c r="Q119" s="76"/>
      <c r="Z119" s="83">
        <v>0.75</v>
      </c>
      <c r="AA119" s="84">
        <f t="shared" si="54"/>
        <v>85.289999999999992</v>
      </c>
      <c r="AB119" s="83">
        <v>0.25</v>
      </c>
      <c r="AC119" s="84">
        <f t="shared" si="55"/>
        <v>28.43</v>
      </c>
      <c r="AE119" s="85">
        <f t="shared" si="56"/>
        <v>1</v>
      </c>
      <c r="AF119" s="78">
        <f t="shared" si="48"/>
        <v>113.72</v>
      </c>
      <c r="AG119" s="68" t="str">
        <f t="shared" si="49"/>
        <v>OK</v>
      </c>
    </row>
    <row r="120" spans="1:33" ht="30" outlineLevel="1" x14ac:dyDescent="0.25">
      <c r="A120" s="9" t="s">
        <v>24</v>
      </c>
      <c r="B120" s="9" t="s">
        <v>206</v>
      </c>
      <c r="C120" s="9" t="s">
        <v>316</v>
      </c>
      <c r="D120" s="10" t="s">
        <v>177</v>
      </c>
      <c r="E120" s="9" t="s">
        <v>178</v>
      </c>
      <c r="F120" s="87">
        <v>8.5</v>
      </c>
      <c r="G120" s="81">
        <v>108.07</v>
      </c>
      <c r="H120" s="81">
        <v>40.86</v>
      </c>
      <c r="I120" s="81">
        <f t="shared" si="50"/>
        <v>148.93</v>
      </c>
      <c r="J120" s="81">
        <f t="shared" si="51"/>
        <v>1265.9000000000001</v>
      </c>
      <c r="K120" s="86">
        <v>0.27760000000000001</v>
      </c>
      <c r="L120" s="81">
        <f t="shared" si="57"/>
        <v>1173.5899999999999</v>
      </c>
      <c r="M120" s="81">
        <f t="shared" si="57"/>
        <v>443.72</v>
      </c>
      <c r="N120" s="81">
        <f t="shared" si="53"/>
        <v>1617.31</v>
      </c>
      <c r="Q120" s="76"/>
      <c r="Z120" s="83">
        <v>0.75</v>
      </c>
      <c r="AA120" s="84">
        <f t="shared" si="54"/>
        <v>1212.9825000000001</v>
      </c>
      <c r="AB120" s="83">
        <v>0.25</v>
      </c>
      <c r="AC120" s="84">
        <f t="shared" si="55"/>
        <v>404.32749999999999</v>
      </c>
      <c r="AE120" s="85">
        <f t="shared" si="56"/>
        <v>1</v>
      </c>
      <c r="AF120" s="78">
        <f t="shared" si="48"/>
        <v>1617.31</v>
      </c>
      <c r="AG120" s="68" t="str">
        <f t="shared" si="49"/>
        <v>OK</v>
      </c>
    </row>
    <row r="121" spans="1:33" x14ac:dyDescent="0.25">
      <c r="D121" s="93"/>
    </row>
    <row r="122" spans="1:33" x14ac:dyDescent="0.25">
      <c r="A122" s="5" t="s">
        <v>336</v>
      </c>
      <c r="B122" s="6"/>
      <c r="C122" s="6"/>
      <c r="D122" s="29"/>
      <c r="E122" s="6"/>
      <c r="F122" s="7"/>
      <c r="G122" s="7"/>
      <c r="H122" s="7"/>
      <c r="I122" s="8"/>
      <c r="J122" s="8"/>
      <c r="K122" s="8"/>
      <c r="L122" s="8"/>
      <c r="M122" s="8"/>
      <c r="N122" s="8">
        <f>SUM(N123)</f>
        <v>64650.96</v>
      </c>
      <c r="P122" s="76">
        <f>N122/$N$170</f>
        <v>0.18861562186201433</v>
      </c>
      <c r="Q122" s="76"/>
      <c r="T122" s="77">
        <f>U122/$N$170</f>
        <v>0</v>
      </c>
      <c r="U122" s="75">
        <f>SUM(U123)</f>
        <v>0</v>
      </c>
      <c r="V122" s="77">
        <f>W122/$N$170</f>
        <v>0</v>
      </c>
      <c r="W122" s="75">
        <f>SUM(W123)</f>
        <v>0</v>
      </c>
      <c r="X122" s="77">
        <f>Y122/$N$170</f>
        <v>0</v>
      </c>
      <c r="Y122" s="75">
        <f>SUM(Y123)</f>
        <v>0</v>
      </c>
      <c r="Z122" s="58">
        <f>AA122/$N$170</f>
        <v>0.18861562186201433</v>
      </c>
      <c r="AA122" s="8">
        <f>SUM(AA123)</f>
        <v>64650.96</v>
      </c>
      <c r="AB122" s="77">
        <f>AC122/$N$170</f>
        <v>0</v>
      </c>
      <c r="AC122" s="75">
        <f>SUM(AC123)</f>
        <v>0</v>
      </c>
      <c r="AE122" s="71"/>
      <c r="AF122" s="78">
        <f t="shared" ref="AF122" si="58">SUM(U122,Y122,AA122,AC122)</f>
        <v>64650.96</v>
      </c>
      <c r="AG122" s="68" t="str">
        <f t="shared" ref="AG122" si="59">IF(AF122=N122,"OK","VERIFICAR")</f>
        <v>OK</v>
      </c>
    </row>
    <row r="123" spans="1:33" ht="57.75" outlineLevel="1" x14ac:dyDescent="0.25">
      <c r="A123" s="9" t="s">
        <v>6</v>
      </c>
      <c r="B123" s="9" t="s">
        <v>207</v>
      </c>
      <c r="C123" s="9" t="s">
        <v>8</v>
      </c>
      <c r="D123" s="10" t="s">
        <v>440</v>
      </c>
      <c r="E123" s="87" t="s">
        <v>208</v>
      </c>
      <c r="F123" s="87">
        <v>1</v>
      </c>
      <c r="G123" s="81">
        <f>AVERAGE(59400,52890)</f>
        <v>56145</v>
      </c>
      <c r="H123" s="81">
        <v>0</v>
      </c>
      <c r="I123" s="81">
        <f t="shared" ref="I123" si="60">G123+H123</f>
        <v>56145</v>
      </c>
      <c r="J123" s="81">
        <f t="shared" ref="J123" si="61">TRUNC(I123*F123,2)</f>
        <v>56145</v>
      </c>
      <c r="K123" s="82">
        <v>0.1515</v>
      </c>
      <c r="L123" s="81">
        <f t="shared" ref="L123:M123" si="62">TRUNC($F123*G123*(1+$K123),2)</f>
        <v>64650.96</v>
      </c>
      <c r="M123" s="81">
        <f t="shared" si="62"/>
        <v>0</v>
      </c>
      <c r="N123" s="81">
        <f t="shared" ref="N123" si="63">M123+L123</f>
        <v>64650.96</v>
      </c>
      <c r="P123" s="76"/>
      <c r="Q123" s="76">
        <f>N123/$N$170</f>
        <v>0.18861562186201433</v>
      </c>
      <c r="Z123" s="83">
        <v>1</v>
      </c>
      <c r="AA123" s="84">
        <f>Z123*$N123</f>
        <v>64650.96</v>
      </c>
      <c r="AE123" s="85">
        <f t="shared" ref="AE123" si="64">SUM(T123,X123,Z123,AB123)</f>
        <v>1</v>
      </c>
      <c r="AF123" s="78">
        <f>SUM(U123,Y123,AA123,AC123)</f>
        <v>64650.96</v>
      </c>
      <c r="AG123" s="68" t="str">
        <f>IF(AF123=N123,"OK","VERIFICAR")</f>
        <v>OK</v>
      </c>
    </row>
    <row r="124" spans="1:33" x14ac:dyDescent="0.25">
      <c r="D124" s="93"/>
    </row>
    <row r="125" spans="1:33" x14ac:dyDescent="0.25">
      <c r="A125" s="5" t="s">
        <v>335</v>
      </c>
      <c r="B125" s="6"/>
      <c r="C125" s="6"/>
      <c r="D125" s="29"/>
      <c r="E125" s="6"/>
      <c r="F125" s="7"/>
      <c r="G125" s="7"/>
      <c r="H125" s="7"/>
      <c r="I125" s="8"/>
      <c r="J125" s="8"/>
      <c r="K125" s="8"/>
      <c r="L125" s="8"/>
      <c r="M125" s="8"/>
      <c r="N125" s="8">
        <f>SUM(N126:N156)</f>
        <v>15652.800000000003</v>
      </c>
      <c r="P125" s="76">
        <f>N125/$N$170</f>
        <v>4.5666183547494708E-2</v>
      </c>
      <c r="Q125" s="76">
        <f>N125/$N$170</f>
        <v>4.5666183547494708E-2</v>
      </c>
      <c r="T125" s="77">
        <f>U125/$N$170</f>
        <v>0</v>
      </c>
      <c r="U125" s="75">
        <f>SUM(U126:U156)</f>
        <v>0</v>
      </c>
      <c r="V125" s="77">
        <f>W125/$N$170</f>
        <v>0</v>
      </c>
      <c r="W125" s="75">
        <f>SUM(W126:W156)</f>
        <v>0</v>
      </c>
      <c r="X125" s="58">
        <f>Y125/$N$170</f>
        <v>3.2190504959262694E-3</v>
      </c>
      <c r="Y125" s="8">
        <f>SUM(Y126:Y156)</f>
        <v>1103.3800000000001</v>
      </c>
      <c r="Z125" s="58">
        <f>AA125/$N$170</f>
        <v>2.6855628511455072E-2</v>
      </c>
      <c r="AA125" s="8">
        <f>SUM(AA126:AA156)</f>
        <v>9205.1875000000018</v>
      </c>
      <c r="AB125" s="58">
        <f>AC125/$N$170</f>
        <v>1.5591504540113365E-2</v>
      </c>
      <c r="AC125" s="8">
        <f>SUM(AC126:AC156)</f>
        <v>5344.2325000000001</v>
      </c>
      <c r="AE125" s="71"/>
      <c r="AF125" s="78">
        <f t="shared" ref="AF125:AF156" si="65">SUM(U125,Y125,AA125,AC125)</f>
        <v>15652.800000000001</v>
      </c>
      <c r="AG125" s="68" t="str">
        <f t="shared" ref="AG125:AG156" si="66">IF(AF125=N125,"OK","VERIFICAR")</f>
        <v>OK</v>
      </c>
    </row>
    <row r="126" spans="1:33" ht="30" outlineLevel="1" x14ac:dyDescent="0.25">
      <c r="A126" s="9" t="s">
        <v>24</v>
      </c>
      <c r="B126" s="9" t="s">
        <v>337</v>
      </c>
      <c r="C126" s="9" t="s">
        <v>317</v>
      </c>
      <c r="D126" s="10" t="s">
        <v>209</v>
      </c>
      <c r="E126" s="87" t="s">
        <v>152</v>
      </c>
      <c r="F126" s="87">
        <v>0.72</v>
      </c>
      <c r="G126" s="81">
        <v>11.27</v>
      </c>
      <c r="H126" s="81">
        <v>24.2</v>
      </c>
      <c r="I126" s="81">
        <f t="shared" ref="I126:I156" si="67">G126+H126</f>
        <v>35.47</v>
      </c>
      <c r="J126" s="81">
        <f t="shared" ref="J126:J156" si="68">TRUNC(I126*F126,2)</f>
        <v>25.53</v>
      </c>
      <c r="K126" s="86">
        <v>0.27760000000000001</v>
      </c>
      <c r="L126" s="81">
        <f t="shared" ref="L126:M141" si="69">TRUNC($F126*G126*(1+$K126),2)</f>
        <v>10.36</v>
      </c>
      <c r="M126" s="81">
        <f t="shared" si="69"/>
        <v>22.26</v>
      </c>
      <c r="N126" s="81">
        <f t="shared" ref="N126:N156" si="70">M126+L126</f>
        <v>32.620000000000005</v>
      </c>
      <c r="Z126" s="83">
        <v>1</v>
      </c>
      <c r="AA126" s="84">
        <f>Z126*$N126</f>
        <v>32.620000000000005</v>
      </c>
      <c r="AE126" s="85">
        <f t="shared" ref="AE126:AE156" si="71">SUM(T126,X126,Z126,AB126)</f>
        <v>1</v>
      </c>
      <c r="AF126" s="78">
        <f t="shared" si="65"/>
        <v>32.620000000000005</v>
      </c>
      <c r="AG126" s="68" t="str">
        <f t="shared" si="66"/>
        <v>OK</v>
      </c>
    </row>
    <row r="127" spans="1:33" outlineLevel="1" x14ac:dyDescent="0.25">
      <c r="A127" s="9" t="s">
        <v>24</v>
      </c>
      <c r="B127" s="9" t="s">
        <v>338</v>
      </c>
      <c r="C127" s="9" t="s">
        <v>318</v>
      </c>
      <c r="D127" s="10" t="s">
        <v>210</v>
      </c>
      <c r="E127" s="87" t="s">
        <v>157</v>
      </c>
      <c r="F127" s="87">
        <f>2.5*15</f>
        <v>37.5</v>
      </c>
      <c r="G127" s="81">
        <f>48.71+0.01</f>
        <v>48.72</v>
      </c>
      <c r="H127" s="81">
        <v>9.31</v>
      </c>
      <c r="I127" s="81">
        <f t="shared" si="67"/>
        <v>58.03</v>
      </c>
      <c r="J127" s="81">
        <f t="shared" si="68"/>
        <v>2176.12</v>
      </c>
      <c r="K127" s="86">
        <v>0.27760000000000001</v>
      </c>
      <c r="L127" s="81">
        <f t="shared" si="69"/>
        <v>2334.17</v>
      </c>
      <c r="M127" s="81">
        <f t="shared" si="69"/>
        <v>446.04</v>
      </c>
      <c r="N127" s="81">
        <f t="shared" si="70"/>
        <v>2780.21</v>
      </c>
      <c r="Z127" s="83">
        <v>1</v>
      </c>
      <c r="AA127" s="84">
        <f>Z127*$N127</f>
        <v>2780.21</v>
      </c>
      <c r="AE127" s="85">
        <f t="shared" si="71"/>
        <v>1</v>
      </c>
      <c r="AF127" s="78">
        <f t="shared" si="65"/>
        <v>2780.21</v>
      </c>
      <c r="AG127" s="68" t="str">
        <f t="shared" si="66"/>
        <v>OK</v>
      </c>
    </row>
    <row r="128" spans="1:33" ht="30" outlineLevel="1" x14ac:dyDescent="0.25">
      <c r="A128" s="9" t="s">
        <v>24</v>
      </c>
      <c r="B128" s="9" t="s">
        <v>339</v>
      </c>
      <c r="C128" s="9" t="s">
        <v>319</v>
      </c>
      <c r="D128" s="10" t="s">
        <v>211</v>
      </c>
      <c r="E128" s="87" t="s">
        <v>212</v>
      </c>
      <c r="F128" s="87">
        <v>12</v>
      </c>
      <c r="G128" s="81">
        <v>4.5199999999999996</v>
      </c>
      <c r="H128" s="81">
        <v>9.15</v>
      </c>
      <c r="I128" s="81">
        <f t="shared" si="67"/>
        <v>13.67</v>
      </c>
      <c r="J128" s="81">
        <f t="shared" si="68"/>
        <v>164.04</v>
      </c>
      <c r="K128" s="86">
        <v>0.27760000000000001</v>
      </c>
      <c r="L128" s="81">
        <f t="shared" si="69"/>
        <v>69.290000000000006</v>
      </c>
      <c r="M128" s="81">
        <f t="shared" si="69"/>
        <v>140.28</v>
      </c>
      <c r="N128" s="81">
        <f t="shared" si="70"/>
        <v>209.57</v>
      </c>
      <c r="Z128" s="83">
        <v>1</v>
      </c>
      <c r="AA128" s="84">
        <f t="shared" ref="AA128:AA138" si="72">Z128*$N128</f>
        <v>209.57</v>
      </c>
      <c r="AE128" s="85">
        <f t="shared" si="71"/>
        <v>1</v>
      </c>
      <c r="AF128" s="78">
        <f t="shared" si="65"/>
        <v>209.57</v>
      </c>
      <c r="AG128" s="68" t="str">
        <f t="shared" si="66"/>
        <v>OK</v>
      </c>
    </row>
    <row r="129" spans="1:33" ht="30" outlineLevel="1" x14ac:dyDescent="0.25">
      <c r="A129" s="9" t="s">
        <v>24</v>
      </c>
      <c r="B129" s="9" t="s">
        <v>340</v>
      </c>
      <c r="C129" s="9" t="s">
        <v>320</v>
      </c>
      <c r="D129" s="10" t="s">
        <v>213</v>
      </c>
      <c r="E129" s="87" t="s">
        <v>212</v>
      </c>
      <c r="F129" s="87">
        <v>12</v>
      </c>
      <c r="G129" s="81">
        <v>4.5199999999999996</v>
      </c>
      <c r="H129" s="81">
        <v>12.24</v>
      </c>
      <c r="I129" s="81">
        <f t="shared" si="67"/>
        <v>16.759999999999998</v>
      </c>
      <c r="J129" s="81">
        <f t="shared" si="68"/>
        <v>201.12</v>
      </c>
      <c r="K129" s="86">
        <v>0.27760000000000001</v>
      </c>
      <c r="L129" s="81">
        <f t="shared" si="69"/>
        <v>69.290000000000006</v>
      </c>
      <c r="M129" s="81">
        <f t="shared" si="69"/>
        <v>187.65</v>
      </c>
      <c r="N129" s="81">
        <f t="shared" si="70"/>
        <v>256.94</v>
      </c>
      <c r="Z129" s="83">
        <v>1</v>
      </c>
      <c r="AA129" s="84">
        <f t="shared" si="72"/>
        <v>256.94</v>
      </c>
      <c r="AE129" s="85">
        <f t="shared" si="71"/>
        <v>1</v>
      </c>
      <c r="AF129" s="78">
        <f t="shared" si="65"/>
        <v>256.94</v>
      </c>
      <c r="AG129" s="68" t="str">
        <f t="shared" si="66"/>
        <v>OK</v>
      </c>
    </row>
    <row r="130" spans="1:33" ht="30" outlineLevel="1" x14ac:dyDescent="0.25">
      <c r="A130" s="9" t="s">
        <v>24</v>
      </c>
      <c r="B130" s="9" t="s">
        <v>341</v>
      </c>
      <c r="C130" s="9" t="s">
        <v>321</v>
      </c>
      <c r="D130" s="10" t="s">
        <v>214</v>
      </c>
      <c r="E130" s="87" t="s">
        <v>157</v>
      </c>
      <c r="F130" s="87">
        <v>10</v>
      </c>
      <c r="G130" s="81">
        <v>2.74</v>
      </c>
      <c r="H130" s="81">
        <v>7.56</v>
      </c>
      <c r="I130" s="81">
        <f t="shared" si="67"/>
        <v>10.3</v>
      </c>
      <c r="J130" s="81">
        <f t="shared" si="68"/>
        <v>103</v>
      </c>
      <c r="K130" s="86">
        <v>0.27760000000000001</v>
      </c>
      <c r="L130" s="81">
        <f t="shared" si="69"/>
        <v>35</v>
      </c>
      <c r="M130" s="81">
        <f t="shared" si="69"/>
        <v>96.58</v>
      </c>
      <c r="N130" s="81">
        <f t="shared" si="70"/>
        <v>131.57999999999998</v>
      </c>
      <c r="Z130" s="83">
        <v>1</v>
      </c>
      <c r="AA130" s="84">
        <f t="shared" si="72"/>
        <v>131.57999999999998</v>
      </c>
      <c r="AE130" s="85">
        <f t="shared" si="71"/>
        <v>1</v>
      </c>
      <c r="AF130" s="78">
        <f t="shared" si="65"/>
        <v>131.57999999999998</v>
      </c>
      <c r="AG130" s="68" t="str">
        <f t="shared" si="66"/>
        <v>OK</v>
      </c>
    </row>
    <row r="131" spans="1:33" ht="30" outlineLevel="1" x14ac:dyDescent="0.25">
      <c r="A131" s="9" t="s">
        <v>24</v>
      </c>
      <c r="B131" s="9" t="s">
        <v>342</v>
      </c>
      <c r="C131" s="9" t="s">
        <v>322</v>
      </c>
      <c r="D131" s="10" t="s">
        <v>215</v>
      </c>
      <c r="E131" s="87" t="s">
        <v>157</v>
      </c>
      <c r="F131" s="87">
        <v>37.5</v>
      </c>
      <c r="G131" s="81">
        <v>0.46</v>
      </c>
      <c r="H131" s="81">
        <v>1.44</v>
      </c>
      <c r="I131" s="81">
        <f t="shared" si="67"/>
        <v>1.9</v>
      </c>
      <c r="J131" s="81">
        <f t="shared" si="68"/>
        <v>71.25</v>
      </c>
      <c r="K131" s="86">
        <v>0.27760000000000001</v>
      </c>
      <c r="L131" s="81">
        <f t="shared" si="69"/>
        <v>22.03</v>
      </c>
      <c r="M131" s="81">
        <f t="shared" si="69"/>
        <v>68.989999999999995</v>
      </c>
      <c r="N131" s="81">
        <f t="shared" si="70"/>
        <v>91.02</v>
      </c>
      <c r="Z131" s="83">
        <v>1</v>
      </c>
      <c r="AA131" s="84">
        <f t="shared" si="72"/>
        <v>91.02</v>
      </c>
      <c r="AE131" s="85">
        <f t="shared" si="71"/>
        <v>1</v>
      </c>
      <c r="AF131" s="78">
        <f t="shared" si="65"/>
        <v>91.02</v>
      </c>
      <c r="AG131" s="68" t="str">
        <f t="shared" si="66"/>
        <v>OK</v>
      </c>
    </row>
    <row r="132" spans="1:33" ht="30" outlineLevel="1" x14ac:dyDescent="0.25">
      <c r="A132" s="9" t="s">
        <v>24</v>
      </c>
      <c r="B132" s="9" t="s">
        <v>343</v>
      </c>
      <c r="C132" s="9" t="s">
        <v>323</v>
      </c>
      <c r="D132" s="10" t="s">
        <v>239</v>
      </c>
      <c r="E132" s="87" t="s">
        <v>208</v>
      </c>
      <c r="F132" s="87">
        <v>1</v>
      </c>
      <c r="G132" s="81">
        <v>24.58</v>
      </c>
      <c r="H132" s="81">
        <v>57.72</v>
      </c>
      <c r="I132" s="81">
        <f t="shared" si="67"/>
        <v>82.3</v>
      </c>
      <c r="J132" s="81">
        <f t="shared" si="68"/>
        <v>82.3</v>
      </c>
      <c r="K132" s="86">
        <v>0.27760000000000001</v>
      </c>
      <c r="L132" s="81">
        <f t="shared" si="69"/>
        <v>31.4</v>
      </c>
      <c r="M132" s="81">
        <f t="shared" si="69"/>
        <v>73.739999999999995</v>
      </c>
      <c r="N132" s="81">
        <f t="shared" si="70"/>
        <v>105.13999999999999</v>
      </c>
      <c r="Z132" s="83">
        <v>1</v>
      </c>
      <c r="AA132" s="84">
        <f>Z132*$N132</f>
        <v>105.13999999999999</v>
      </c>
      <c r="AE132" s="85">
        <f t="shared" si="71"/>
        <v>1</v>
      </c>
      <c r="AF132" s="78">
        <f t="shared" si="65"/>
        <v>105.13999999999999</v>
      </c>
      <c r="AG132" s="68" t="str">
        <f t="shared" si="66"/>
        <v>OK</v>
      </c>
    </row>
    <row r="133" spans="1:33" ht="30" outlineLevel="1" x14ac:dyDescent="0.25">
      <c r="A133" s="9" t="s">
        <v>24</v>
      </c>
      <c r="B133" s="9" t="s">
        <v>344</v>
      </c>
      <c r="C133" s="9" t="s">
        <v>324</v>
      </c>
      <c r="D133" s="10" t="s">
        <v>216</v>
      </c>
      <c r="E133" s="87" t="s">
        <v>208</v>
      </c>
      <c r="F133" s="87">
        <v>1</v>
      </c>
      <c r="G133" s="81">
        <v>93.14</v>
      </c>
      <c r="H133" s="81">
        <v>12.61</v>
      </c>
      <c r="I133" s="81">
        <f t="shared" si="67"/>
        <v>105.75</v>
      </c>
      <c r="J133" s="81">
        <f t="shared" si="68"/>
        <v>105.75</v>
      </c>
      <c r="K133" s="86">
        <v>0.27760000000000001</v>
      </c>
      <c r="L133" s="81">
        <f t="shared" si="69"/>
        <v>118.99</v>
      </c>
      <c r="M133" s="81">
        <f t="shared" si="69"/>
        <v>16.11</v>
      </c>
      <c r="N133" s="81">
        <f t="shared" si="70"/>
        <v>135.1</v>
      </c>
      <c r="Z133" s="83">
        <v>1</v>
      </c>
      <c r="AA133" s="84">
        <f>Z133*$N133</f>
        <v>135.1</v>
      </c>
      <c r="AE133" s="85">
        <f t="shared" si="71"/>
        <v>1</v>
      </c>
      <c r="AF133" s="78">
        <f t="shared" si="65"/>
        <v>135.1</v>
      </c>
      <c r="AG133" s="68" t="str">
        <f t="shared" si="66"/>
        <v>OK</v>
      </c>
    </row>
    <row r="134" spans="1:33" outlineLevel="1" x14ac:dyDescent="0.25">
      <c r="A134" s="9" t="s">
        <v>24</v>
      </c>
      <c r="B134" s="9" t="s">
        <v>345</v>
      </c>
      <c r="C134" s="9" t="s">
        <v>325</v>
      </c>
      <c r="D134" s="10" t="s">
        <v>217</v>
      </c>
      <c r="E134" s="87" t="s">
        <v>157</v>
      </c>
      <c r="F134" s="87">
        <v>10</v>
      </c>
      <c r="G134" s="81">
        <v>7.07</v>
      </c>
      <c r="H134" s="81">
        <v>5.34</v>
      </c>
      <c r="I134" s="81">
        <f t="shared" si="67"/>
        <v>12.41</v>
      </c>
      <c r="J134" s="81">
        <f t="shared" si="68"/>
        <v>124.1</v>
      </c>
      <c r="K134" s="86">
        <v>0.27760000000000001</v>
      </c>
      <c r="L134" s="81">
        <f t="shared" si="69"/>
        <v>90.32</v>
      </c>
      <c r="M134" s="81">
        <f t="shared" si="69"/>
        <v>68.22</v>
      </c>
      <c r="N134" s="81">
        <f t="shared" si="70"/>
        <v>158.54</v>
      </c>
      <c r="Z134" s="83">
        <v>1</v>
      </c>
      <c r="AA134" s="84">
        <f>Z134*$N134</f>
        <v>158.54</v>
      </c>
      <c r="AE134" s="85">
        <f t="shared" si="71"/>
        <v>1</v>
      </c>
      <c r="AF134" s="78">
        <f t="shared" si="65"/>
        <v>158.54</v>
      </c>
      <c r="AG134" s="68" t="str">
        <f t="shared" si="66"/>
        <v>OK</v>
      </c>
    </row>
    <row r="135" spans="1:33" ht="30" outlineLevel="1" x14ac:dyDescent="0.25">
      <c r="A135" s="9" t="s">
        <v>24</v>
      </c>
      <c r="B135" s="9" t="s">
        <v>346</v>
      </c>
      <c r="C135" s="9" t="s">
        <v>326</v>
      </c>
      <c r="D135" s="10" t="s">
        <v>218</v>
      </c>
      <c r="E135" s="87" t="s">
        <v>157</v>
      </c>
      <c r="F135" s="87">
        <v>32.4</v>
      </c>
      <c r="G135" s="81">
        <f>0.12+47.82</f>
        <v>47.94</v>
      </c>
      <c r="H135" s="81">
        <v>5.67</v>
      </c>
      <c r="I135" s="81">
        <f t="shared" si="67"/>
        <v>53.61</v>
      </c>
      <c r="J135" s="81">
        <f t="shared" si="68"/>
        <v>1736.96</v>
      </c>
      <c r="K135" s="86">
        <v>0.27760000000000001</v>
      </c>
      <c r="L135" s="81">
        <f t="shared" si="69"/>
        <v>1984.43</v>
      </c>
      <c r="M135" s="81">
        <f t="shared" si="69"/>
        <v>234.7</v>
      </c>
      <c r="N135" s="81">
        <f t="shared" si="70"/>
        <v>2219.13</v>
      </c>
      <c r="Z135" s="83">
        <v>1</v>
      </c>
      <c r="AA135" s="84">
        <f t="shared" si="72"/>
        <v>2219.13</v>
      </c>
      <c r="AE135" s="85">
        <f t="shared" si="71"/>
        <v>1</v>
      </c>
      <c r="AF135" s="78">
        <f t="shared" si="65"/>
        <v>2219.13</v>
      </c>
      <c r="AG135" s="68" t="str">
        <f t="shared" si="66"/>
        <v>OK</v>
      </c>
    </row>
    <row r="136" spans="1:33" outlineLevel="1" x14ac:dyDescent="0.25">
      <c r="A136" s="9" t="s">
        <v>24</v>
      </c>
      <c r="B136" s="9" t="s">
        <v>347</v>
      </c>
      <c r="C136" s="9" t="s">
        <v>292</v>
      </c>
      <c r="D136" s="10" t="s">
        <v>149</v>
      </c>
      <c r="E136" s="87" t="s">
        <v>150</v>
      </c>
      <c r="F136" s="87">
        <v>2</v>
      </c>
      <c r="G136" s="81">
        <f>0.06+27.72+0.05</f>
        <v>27.83</v>
      </c>
      <c r="H136" s="81">
        <v>17.05</v>
      </c>
      <c r="I136" s="81">
        <f t="shared" si="67"/>
        <v>44.879999999999995</v>
      </c>
      <c r="J136" s="81">
        <f t="shared" si="68"/>
        <v>89.76</v>
      </c>
      <c r="K136" s="86">
        <v>0.27760000000000001</v>
      </c>
      <c r="L136" s="81">
        <f t="shared" si="69"/>
        <v>71.11</v>
      </c>
      <c r="M136" s="81">
        <f t="shared" si="69"/>
        <v>43.56</v>
      </c>
      <c r="N136" s="81">
        <f t="shared" si="70"/>
        <v>114.67</v>
      </c>
      <c r="Z136" s="83">
        <v>1</v>
      </c>
      <c r="AA136" s="84">
        <f t="shared" si="72"/>
        <v>114.67</v>
      </c>
      <c r="AE136" s="85">
        <f t="shared" si="71"/>
        <v>1</v>
      </c>
      <c r="AF136" s="78">
        <f t="shared" si="65"/>
        <v>114.67</v>
      </c>
      <c r="AG136" s="68" t="str">
        <f t="shared" si="66"/>
        <v>OK</v>
      </c>
    </row>
    <row r="137" spans="1:33" ht="30" outlineLevel="1" x14ac:dyDescent="0.25">
      <c r="A137" s="9" t="s">
        <v>24</v>
      </c>
      <c r="B137" s="9" t="s">
        <v>348</v>
      </c>
      <c r="C137" s="9" t="s">
        <v>293</v>
      </c>
      <c r="D137" s="10" t="s">
        <v>151</v>
      </c>
      <c r="E137" s="87" t="s">
        <v>152</v>
      </c>
      <c r="F137" s="87">
        <v>0.154</v>
      </c>
      <c r="G137" s="81">
        <v>42.78</v>
      </c>
      <c r="H137" s="81">
        <v>61.64</v>
      </c>
      <c r="I137" s="81">
        <f t="shared" si="67"/>
        <v>104.42</v>
      </c>
      <c r="J137" s="81">
        <f t="shared" si="68"/>
        <v>16.079999999999998</v>
      </c>
      <c r="K137" s="86">
        <v>0.27760000000000001</v>
      </c>
      <c r="L137" s="81">
        <f t="shared" si="69"/>
        <v>8.41</v>
      </c>
      <c r="M137" s="81">
        <f t="shared" si="69"/>
        <v>12.12</v>
      </c>
      <c r="N137" s="81">
        <f t="shared" si="70"/>
        <v>20.53</v>
      </c>
      <c r="Z137" s="83">
        <v>1</v>
      </c>
      <c r="AA137" s="84">
        <f t="shared" si="72"/>
        <v>20.53</v>
      </c>
      <c r="AE137" s="85">
        <f t="shared" si="71"/>
        <v>1</v>
      </c>
      <c r="AF137" s="78">
        <f t="shared" si="65"/>
        <v>20.53</v>
      </c>
      <c r="AG137" s="68" t="str">
        <f t="shared" si="66"/>
        <v>OK</v>
      </c>
    </row>
    <row r="138" spans="1:33" outlineLevel="1" x14ac:dyDescent="0.25">
      <c r="A138" s="9" t="s">
        <v>24</v>
      </c>
      <c r="B138" s="9" t="s">
        <v>349</v>
      </c>
      <c r="C138" s="9" t="s">
        <v>294</v>
      </c>
      <c r="D138" s="10" t="s">
        <v>153</v>
      </c>
      <c r="E138" s="87" t="s">
        <v>152</v>
      </c>
      <c r="F138" s="87">
        <v>0.32</v>
      </c>
      <c r="G138" s="81">
        <v>24.89</v>
      </c>
      <c r="H138" s="81">
        <v>56.09</v>
      </c>
      <c r="I138" s="81">
        <f t="shared" si="67"/>
        <v>80.98</v>
      </c>
      <c r="J138" s="81">
        <f t="shared" si="68"/>
        <v>25.91</v>
      </c>
      <c r="K138" s="86">
        <v>0.27760000000000001</v>
      </c>
      <c r="L138" s="81">
        <f t="shared" si="69"/>
        <v>10.17</v>
      </c>
      <c r="M138" s="81">
        <f t="shared" si="69"/>
        <v>22.93</v>
      </c>
      <c r="N138" s="81">
        <f t="shared" si="70"/>
        <v>33.1</v>
      </c>
      <c r="Z138" s="83">
        <v>1</v>
      </c>
      <c r="AA138" s="84">
        <f t="shared" si="72"/>
        <v>33.1</v>
      </c>
      <c r="AE138" s="85">
        <f t="shared" si="71"/>
        <v>1</v>
      </c>
      <c r="AF138" s="78">
        <f t="shared" si="65"/>
        <v>33.1</v>
      </c>
      <c r="AG138" s="68" t="str">
        <f t="shared" si="66"/>
        <v>OK</v>
      </c>
    </row>
    <row r="139" spans="1:33" outlineLevel="1" x14ac:dyDescent="0.25">
      <c r="A139" s="9" t="s">
        <v>24</v>
      </c>
      <c r="B139" s="9" t="s">
        <v>350</v>
      </c>
      <c r="C139" s="9" t="s">
        <v>314</v>
      </c>
      <c r="D139" s="10" t="s">
        <v>175</v>
      </c>
      <c r="E139" s="87" t="s">
        <v>157</v>
      </c>
      <c r="F139" s="87">
        <v>55.2</v>
      </c>
      <c r="G139" s="81">
        <v>7.79</v>
      </c>
      <c r="H139" s="81">
        <v>2.95</v>
      </c>
      <c r="I139" s="81">
        <f t="shared" si="67"/>
        <v>10.74</v>
      </c>
      <c r="J139" s="81">
        <f t="shared" si="68"/>
        <v>592.84</v>
      </c>
      <c r="K139" s="86">
        <v>0.27760000000000001</v>
      </c>
      <c r="L139" s="81">
        <f t="shared" si="69"/>
        <v>549.37</v>
      </c>
      <c r="M139" s="81">
        <f t="shared" si="69"/>
        <v>208.04</v>
      </c>
      <c r="N139" s="81">
        <f t="shared" si="70"/>
        <v>757.41</v>
      </c>
      <c r="AB139" s="83">
        <v>1</v>
      </c>
      <c r="AC139" s="84">
        <f t="shared" ref="AC139" si="73">AB139*$N139</f>
        <v>757.41</v>
      </c>
      <c r="AE139" s="85">
        <f t="shared" si="71"/>
        <v>1</v>
      </c>
      <c r="AF139" s="78">
        <f t="shared" si="65"/>
        <v>757.41</v>
      </c>
      <c r="AG139" s="68" t="str">
        <f t="shared" si="66"/>
        <v>OK</v>
      </c>
    </row>
    <row r="140" spans="1:33" ht="45" outlineLevel="1" x14ac:dyDescent="0.25">
      <c r="A140" s="9" t="s">
        <v>24</v>
      </c>
      <c r="B140" s="9" t="s">
        <v>351</v>
      </c>
      <c r="C140" s="9" t="s">
        <v>303</v>
      </c>
      <c r="D140" s="10" t="s">
        <v>219</v>
      </c>
      <c r="E140" s="87" t="s">
        <v>157</v>
      </c>
      <c r="F140" s="87">
        <v>0.72</v>
      </c>
      <c r="G140" s="81">
        <v>37.29</v>
      </c>
      <c r="H140" s="81">
        <v>15.77</v>
      </c>
      <c r="I140" s="81">
        <f t="shared" si="67"/>
        <v>53.06</v>
      </c>
      <c r="J140" s="81">
        <f t="shared" si="68"/>
        <v>38.200000000000003</v>
      </c>
      <c r="K140" s="86">
        <v>0.27760000000000001</v>
      </c>
      <c r="L140" s="81">
        <f t="shared" si="69"/>
        <v>34.299999999999997</v>
      </c>
      <c r="M140" s="81">
        <f t="shared" si="69"/>
        <v>14.5</v>
      </c>
      <c r="N140" s="81">
        <f t="shared" si="70"/>
        <v>48.8</v>
      </c>
      <c r="Z140" s="83">
        <v>1</v>
      </c>
      <c r="AA140" s="84">
        <f t="shared" ref="AA140:AA142" si="74">Z140*$N140</f>
        <v>48.8</v>
      </c>
      <c r="AE140" s="85">
        <f t="shared" si="71"/>
        <v>1</v>
      </c>
      <c r="AF140" s="78">
        <f t="shared" si="65"/>
        <v>48.8</v>
      </c>
      <c r="AG140" s="68" t="str">
        <f t="shared" si="66"/>
        <v>OK</v>
      </c>
    </row>
    <row r="141" spans="1:33" ht="30" outlineLevel="1" x14ac:dyDescent="0.25">
      <c r="A141" s="9" t="s">
        <v>24</v>
      </c>
      <c r="B141" s="9" t="s">
        <v>352</v>
      </c>
      <c r="C141" s="9" t="s">
        <v>304</v>
      </c>
      <c r="D141" s="10" t="s">
        <v>165</v>
      </c>
      <c r="E141" s="87" t="s">
        <v>157</v>
      </c>
      <c r="F141" s="87">
        <v>9.6</v>
      </c>
      <c r="G141" s="81">
        <v>1.45</v>
      </c>
      <c r="H141" s="81">
        <v>1.21</v>
      </c>
      <c r="I141" s="81">
        <f t="shared" si="67"/>
        <v>2.66</v>
      </c>
      <c r="J141" s="81">
        <f t="shared" si="68"/>
        <v>25.53</v>
      </c>
      <c r="K141" s="86">
        <v>0.27760000000000001</v>
      </c>
      <c r="L141" s="81">
        <f t="shared" si="69"/>
        <v>17.78</v>
      </c>
      <c r="M141" s="81">
        <f t="shared" si="69"/>
        <v>14.84</v>
      </c>
      <c r="N141" s="81">
        <f t="shared" si="70"/>
        <v>32.620000000000005</v>
      </c>
      <c r="Z141" s="83">
        <v>1</v>
      </c>
      <c r="AA141" s="84">
        <f t="shared" si="74"/>
        <v>32.620000000000005</v>
      </c>
      <c r="AE141" s="85">
        <f t="shared" si="71"/>
        <v>1</v>
      </c>
      <c r="AF141" s="78">
        <f t="shared" si="65"/>
        <v>32.620000000000005</v>
      </c>
      <c r="AG141" s="68" t="str">
        <f t="shared" si="66"/>
        <v>OK</v>
      </c>
    </row>
    <row r="142" spans="1:33" ht="45" outlineLevel="1" x14ac:dyDescent="0.25">
      <c r="A142" s="9" t="s">
        <v>24</v>
      </c>
      <c r="B142" s="9" t="s">
        <v>353</v>
      </c>
      <c r="C142" s="9" t="s">
        <v>305</v>
      </c>
      <c r="D142" s="10" t="s">
        <v>166</v>
      </c>
      <c r="E142" s="87" t="s">
        <v>157</v>
      </c>
      <c r="F142" s="87">
        <v>9.6</v>
      </c>
      <c r="G142" s="81">
        <v>18.690000000000001</v>
      </c>
      <c r="H142" s="81">
        <v>20.04</v>
      </c>
      <c r="I142" s="81">
        <f t="shared" si="67"/>
        <v>38.730000000000004</v>
      </c>
      <c r="J142" s="81">
        <f t="shared" si="68"/>
        <v>371.8</v>
      </c>
      <c r="K142" s="86">
        <v>0.27760000000000001</v>
      </c>
      <c r="L142" s="81">
        <f t="shared" ref="L142:M156" si="75">TRUNC($F142*G142*(1+$K142),2)</f>
        <v>229.23</v>
      </c>
      <c r="M142" s="81">
        <f t="shared" si="75"/>
        <v>245.78</v>
      </c>
      <c r="N142" s="81">
        <f t="shared" si="70"/>
        <v>475.01</v>
      </c>
      <c r="Z142" s="83">
        <v>1</v>
      </c>
      <c r="AA142" s="84">
        <f t="shared" si="74"/>
        <v>475.01</v>
      </c>
      <c r="AE142" s="85">
        <f t="shared" si="71"/>
        <v>1</v>
      </c>
      <c r="AF142" s="78">
        <f t="shared" si="65"/>
        <v>475.01</v>
      </c>
      <c r="AG142" s="68" t="str">
        <f t="shared" si="66"/>
        <v>OK</v>
      </c>
    </row>
    <row r="143" spans="1:33" outlineLevel="1" x14ac:dyDescent="0.25">
      <c r="A143" s="9" t="s">
        <v>24</v>
      </c>
      <c r="B143" s="9" t="s">
        <v>354</v>
      </c>
      <c r="C143" s="9" t="s">
        <v>312</v>
      </c>
      <c r="D143" s="10" t="s">
        <v>173</v>
      </c>
      <c r="E143" s="87" t="s">
        <v>157</v>
      </c>
      <c r="F143" s="87">
        <v>55.2</v>
      </c>
      <c r="G143" s="81">
        <v>2.16</v>
      </c>
      <c r="H143" s="81">
        <v>0.41</v>
      </c>
      <c r="I143" s="81">
        <f t="shared" si="67"/>
        <v>2.5700000000000003</v>
      </c>
      <c r="J143" s="81">
        <f t="shared" si="68"/>
        <v>141.86000000000001</v>
      </c>
      <c r="K143" s="86">
        <v>0.27760000000000001</v>
      </c>
      <c r="L143" s="81">
        <f t="shared" si="75"/>
        <v>152.33000000000001</v>
      </c>
      <c r="M143" s="81">
        <f t="shared" si="75"/>
        <v>28.91</v>
      </c>
      <c r="N143" s="81">
        <f t="shared" si="70"/>
        <v>181.24</v>
      </c>
      <c r="AB143" s="83">
        <v>1</v>
      </c>
      <c r="AC143" s="84">
        <f t="shared" ref="AC143:AC144" si="76">AB143*$N143</f>
        <v>181.24</v>
      </c>
      <c r="AE143" s="85">
        <f t="shared" si="71"/>
        <v>1</v>
      </c>
      <c r="AF143" s="78">
        <f t="shared" si="65"/>
        <v>181.24</v>
      </c>
      <c r="AG143" s="68" t="str">
        <f t="shared" si="66"/>
        <v>OK</v>
      </c>
    </row>
    <row r="144" spans="1:33" ht="30" outlineLevel="1" x14ac:dyDescent="0.25">
      <c r="A144" s="9" t="s">
        <v>24</v>
      </c>
      <c r="B144" s="9" t="s">
        <v>355</v>
      </c>
      <c r="C144" s="9" t="s">
        <v>313</v>
      </c>
      <c r="D144" s="10" t="s">
        <v>174</v>
      </c>
      <c r="E144" s="87" t="s">
        <v>157</v>
      </c>
      <c r="F144" s="87">
        <f>(5*2.5)*3</f>
        <v>37.5</v>
      </c>
      <c r="G144" s="81">
        <v>11.28</v>
      </c>
      <c r="H144" s="81">
        <v>3.57</v>
      </c>
      <c r="I144" s="81">
        <f t="shared" si="67"/>
        <v>14.85</v>
      </c>
      <c r="J144" s="81">
        <f t="shared" si="68"/>
        <v>556.87</v>
      </c>
      <c r="K144" s="86">
        <v>0.27760000000000001</v>
      </c>
      <c r="L144" s="81">
        <f t="shared" si="75"/>
        <v>540.41999999999996</v>
      </c>
      <c r="M144" s="81">
        <f t="shared" si="75"/>
        <v>171.03</v>
      </c>
      <c r="N144" s="81">
        <f t="shared" si="70"/>
        <v>711.44999999999993</v>
      </c>
      <c r="AB144" s="83">
        <v>1</v>
      </c>
      <c r="AC144" s="84">
        <f t="shared" si="76"/>
        <v>711.44999999999993</v>
      </c>
      <c r="AE144" s="85">
        <f t="shared" si="71"/>
        <v>1</v>
      </c>
      <c r="AF144" s="78">
        <f t="shared" si="65"/>
        <v>711.44999999999993</v>
      </c>
      <c r="AG144" s="68" t="str">
        <f t="shared" si="66"/>
        <v>OK</v>
      </c>
    </row>
    <row r="145" spans="1:33" outlineLevel="1" x14ac:dyDescent="0.25">
      <c r="A145" s="9" t="s">
        <v>6</v>
      </c>
      <c r="B145" s="9" t="s">
        <v>356</v>
      </c>
      <c r="C145" s="9" t="s">
        <v>8</v>
      </c>
      <c r="D145" s="10" t="s">
        <v>240</v>
      </c>
      <c r="E145" s="87" t="s">
        <v>150</v>
      </c>
      <c r="F145" s="87">
        <v>12</v>
      </c>
      <c r="G145" s="99">
        <f>COTACOES!M17</f>
        <v>94.9</v>
      </c>
      <c r="H145" s="81">
        <v>0</v>
      </c>
      <c r="I145" s="81">
        <f t="shared" si="67"/>
        <v>94.9</v>
      </c>
      <c r="J145" s="81">
        <f t="shared" si="68"/>
        <v>1138.8</v>
      </c>
      <c r="K145" s="86">
        <v>0.27760000000000001</v>
      </c>
      <c r="L145" s="81">
        <f t="shared" si="75"/>
        <v>1454.93</v>
      </c>
      <c r="M145" s="81">
        <f t="shared" si="75"/>
        <v>0</v>
      </c>
      <c r="N145" s="81">
        <f t="shared" si="70"/>
        <v>1454.93</v>
      </c>
      <c r="Z145" s="83">
        <v>0.75</v>
      </c>
      <c r="AA145" s="84">
        <f t="shared" ref="AA145:AC150" si="77">Z145*$N145</f>
        <v>1091.1975</v>
      </c>
      <c r="AB145" s="83">
        <v>0.25</v>
      </c>
      <c r="AC145" s="84">
        <f t="shared" si="77"/>
        <v>363.73250000000002</v>
      </c>
      <c r="AE145" s="85">
        <f t="shared" si="71"/>
        <v>1</v>
      </c>
      <c r="AF145" s="78">
        <f t="shared" si="65"/>
        <v>1454.93</v>
      </c>
      <c r="AG145" s="68" t="str">
        <f t="shared" si="66"/>
        <v>OK</v>
      </c>
    </row>
    <row r="146" spans="1:33" ht="30" outlineLevel="1" x14ac:dyDescent="0.25">
      <c r="A146" s="9" t="s">
        <v>24</v>
      </c>
      <c r="B146" s="9" t="s">
        <v>357</v>
      </c>
      <c r="C146" s="9" t="s">
        <v>300</v>
      </c>
      <c r="D146" s="10" t="s">
        <v>220</v>
      </c>
      <c r="E146" s="87" t="s">
        <v>157</v>
      </c>
      <c r="F146" s="87">
        <v>1.28</v>
      </c>
      <c r="G146" s="81">
        <f>62.1+0.15</f>
        <v>62.25</v>
      </c>
      <c r="H146" s="81">
        <v>31.34</v>
      </c>
      <c r="I146" s="81">
        <f t="shared" si="67"/>
        <v>93.59</v>
      </c>
      <c r="J146" s="81">
        <f t="shared" si="68"/>
        <v>119.79</v>
      </c>
      <c r="K146" s="86">
        <v>0.27760000000000001</v>
      </c>
      <c r="L146" s="81">
        <f t="shared" si="75"/>
        <v>101.79</v>
      </c>
      <c r="M146" s="81">
        <f t="shared" si="75"/>
        <v>51.25</v>
      </c>
      <c r="N146" s="81">
        <f t="shared" si="70"/>
        <v>153.04000000000002</v>
      </c>
      <c r="Z146" s="83">
        <v>1</v>
      </c>
      <c r="AA146" s="84">
        <f t="shared" si="77"/>
        <v>153.04000000000002</v>
      </c>
      <c r="AE146" s="85">
        <f t="shared" si="71"/>
        <v>1</v>
      </c>
      <c r="AF146" s="78">
        <f t="shared" si="65"/>
        <v>153.04000000000002</v>
      </c>
      <c r="AG146" s="68" t="str">
        <f t="shared" si="66"/>
        <v>OK</v>
      </c>
    </row>
    <row r="147" spans="1:33" ht="30" outlineLevel="1" x14ac:dyDescent="0.25">
      <c r="A147" s="9" t="s">
        <v>24</v>
      </c>
      <c r="B147" s="9" t="s">
        <v>358</v>
      </c>
      <c r="C147" s="9" t="s">
        <v>301</v>
      </c>
      <c r="D147" s="10" t="s">
        <v>161</v>
      </c>
      <c r="E147" s="87" t="s">
        <v>81</v>
      </c>
      <c r="F147" s="87">
        <v>66.36</v>
      </c>
      <c r="G147" s="81">
        <v>8.14</v>
      </c>
      <c r="H147" s="81">
        <v>2.02</v>
      </c>
      <c r="I147" s="81">
        <f t="shared" si="67"/>
        <v>10.16</v>
      </c>
      <c r="J147" s="81">
        <f t="shared" si="68"/>
        <v>674.21</v>
      </c>
      <c r="K147" s="86">
        <v>0.27760000000000001</v>
      </c>
      <c r="L147" s="81">
        <f t="shared" si="75"/>
        <v>690.12</v>
      </c>
      <c r="M147" s="81">
        <f t="shared" si="75"/>
        <v>171.25</v>
      </c>
      <c r="N147" s="81">
        <f t="shared" si="70"/>
        <v>861.37</v>
      </c>
      <c r="Z147" s="83">
        <v>1</v>
      </c>
      <c r="AA147" s="84">
        <f t="shared" si="77"/>
        <v>861.37</v>
      </c>
      <c r="AE147" s="85">
        <f t="shared" si="71"/>
        <v>1</v>
      </c>
      <c r="AF147" s="78">
        <f t="shared" si="65"/>
        <v>861.37</v>
      </c>
      <c r="AG147" s="68" t="str">
        <f t="shared" si="66"/>
        <v>OK</v>
      </c>
    </row>
    <row r="148" spans="1:33" ht="45" outlineLevel="1" x14ac:dyDescent="0.25">
      <c r="A148" s="9" t="s">
        <v>24</v>
      </c>
      <c r="B148" s="9" t="s">
        <v>359</v>
      </c>
      <c r="C148" s="9" t="s">
        <v>295</v>
      </c>
      <c r="D148" s="10" t="s">
        <v>154</v>
      </c>
      <c r="E148" s="87" t="s">
        <v>81</v>
      </c>
      <c r="F148" s="87">
        <v>9.48</v>
      </c>
      <c r="G148" s="81">
        <v>8.1199999999999992</v>
      </c>
      <c r="H148" s="81">
        <v>2.04</v>
      </c>
      <c r="I148" s="81">
        <f t="shared" si="67"/>
        <v>10.16</v>
      </c>
      <c r="J148" s="81">
        <f t="shared" si="68"/>
        <v>96.31</v>
      </c>
      <c r="K148" s="86">
        <v>0.27760000000000001</v>
      </c>
      <c r="L148" s="81">
        <f t="shared" si="75"/>
        <v>98.34</v>
      </c>
      <c r="M148" s="81">
        <f t="shared" si="75"/>
        <v>24.7</v>
      </c>
      <c r="N148" s="81">
        <f t="shared" si="70"/>
        <v>123.04</v>
      </c>
      <c r="Z148" s="83">
        <v>1</v>
      </c>
      <c r="AA148" s="84">
        <f t="shared" si="77"/>
        <v>123.04</v>
      </c>
      <c r="AE148" s="85">
        <f t="shared" si="71"/>
        <v>1</v>
      </c>
      <c r="AF148" s="78">
        <f t="shared" si="65"/>
        <v>123.04</v>
      </c>
      <c r="AG148" s="68" t="str">
        <f t="shared" si="66"/>
        <v>OK</v>
      </c>
    </row>
    <row r="149" spans="1:33" ht="45" outlineLevel="1" x14ac:dyDescent="0.25">
      <c r="A149" s="9" t="s">
        <v>24</v>
      </c>
      <c r="B149" s="9" t="s">
        <v>360</v>
      </c>
      <c r="C149" s="9" t="s">
        <v>296</v>
      </c>
      <c r="D149" s="10" t="s">
        <v>155</v>
      </c>
      <c r="E149" s="87" t="s">
        <v>152</v>
      </c>
      <c r="F149" s="87">
        <f>0.15*0.15*2.5*2</f>
        <v>0.11249999999999999</v>
      </c>
      <c r="G149" s="81">
        <f>0.64+334.18+0.62</f>
        <v>335.44</v>
      </c>
      <c r="H149" s="81">
        <v>96.3</v>
      </c>
      <c r="I149" s="81">
        <f t="shared" si="67"/>
        <v>431.74</v>
      </c>
      <c r="J149" s="81">
        <f t="shared" si="68"/>
        <v>48.57</v>
      </c>
      <c r="K149" s="86">
        <v>0.27760000000000001</v>
      </c>
      <c r="L149" s="81">
        <f t="shared" si="75"/>
        <v>48.21</v>
      </c>
      <c r="M149" s="81">
        <f t="shared" si="75"/>
        <v>13.84</v>
      </c>
      <c r="N149" s="81">
        <f t="shared" si="70"/>
        <v>62.05</v>
      </c>
      <c r="Z149" s="83">
        <v>1</v>
      </c>
      <c r="AA149" s="84">
        <f t="shared" si="77"/>
        <v>62.05</v>
      </c>
      <c r="AE149" s="85">
        <f t="shared" si="71"/>
        <v>1</v>
      </c>
      <c r="AF149" s="78">
        <f t="shared" si="65"/>
        <v>62.05</v>
      </c>
      <c r="AG149" s="68" t="str">
        <f t="shared" si="66"/>
        <v>OK</v>
      </c>
    </row>
    <row r="150" spans="1:33" ht="30" outlineLevel="1" x14ac:dyDescent="0.25">
      <c r="A150" s="9" t="s">
        <v>24</v>
      </c>
      <c r="B150" s="9" t="s">
        <v>361</v>
      </c>
      <c r="C150" s="9" t="s">
        <v>302</v>
      </c>
      <c r="D150" s="10" t="s">
        <v>221</v>
      </c>
      <c r="E150" s="87" t="s">
        <v>152</v>
      </c>
      <c r="F150" s="87">
        <f>0.4*0.4*0.4*2</f>
        <v>0.12800000000000003</v>
      </c>
      <c r="G150" s="81">
        <f>2.34+330.04+1.65</f>
        <v>334.03</v>
      </c>
      <c r="H150" s="81">
        <v>93.52</v>
      </c>
      <c r="I150" s="81">
        <f t="shared" si="67"/>
        <v>427.54999999999995</v>
      </c>
      <c r="J150" s="81">
        <f t="shared" si="68"/>
        <v>54.72</v>
      </c>
      <c r="K150" s="86">
        <v>0.27760000000000001</v>
      </c>
      <c r="L150" s="81">
        <f t="shared" si="75"/>
        <v>54.62</v>
      </c>
      <c r="M150" s="81">
        <f t="shared" si="75"/>
        <v>15.29</v>
      </c>
      <c r="N150" s="81">
        <f t="shared" si="70"/>
        <v>69.91</v>
      </c>
      <c r="Z150" s="83">
        <v>1</v>
      </c>
      <c r="AA150" s="84">
        <f t="shared" si="77"/>
        <v>69.91</v>
      </c>
      <c r="AE150" s="85">
        <f t="shared" si="71"/>
        <v>1</v>
      </c>
      <c r="AF150" s="78">
        <f t="shared" si="65"/>
        <v>69.91</v>
      </c>
      <c r="AG150" s="68" t="str">
        <f t="shared" si="66"/>
        <v>OK</v>
      </c>
    </row>
    <row r="151" spans="1:33" ht="30" outlineLevel="1" x14ac:dyDescent="0.25">
      <c r="A151" s="9" t="s">
        <v>24</v>
      </c>
      <c r="B151" s="9" t="s">
        <v>362</v>
      </c>
      <c r="C151" s="9" t="s">
        <v>310</v>
      </c>
      <c r="D151" s="10" t="s">
        <v>171</v>
      </c>
      <c r="E151" s="87" t="s">
        <v>17</v>
      </c>
      <c r="F151" s="87">
        <v>50</v>
      </c>
      <c r="G151" s="81">
        <v>4.66</v>
      </c>
      <c r="H151" s="81">
        <v>2.69</v>
      </c>
      <c r="I151" s="81">
        <f t="shared" si="67"/>
        <v>7.35</v>
      </c>
      <c r="J151" s="81">
        <f t="shared" si="68"/>
        <v>367.5</v>
      </c>
      <c r="K151" s="86">
        <v>0.27760000000000001</v>
      </c>
      <c r="L151" s="81">
        <f t="shared" si="75"/>
        <v>297.68</v>
      </c>
      <c r="M151" s="81">
        <f t="shared" si="75"/>
        <v>171.83</v>
      </c>
      <c r="N151" s="81">
        <f t="shared" si="70"/>
        <v>469.51</v>
      </c>
      <c r="AB151" s="83">
        <v>1</v>
      </c>
      <c r="AC151" s="84">
        <f t="shared" ref="AC151:AC156" si="78">AB151*$N151</f>
        <v>469.51</v>
      </c>
      <c r="AE151" s="85">
        <f t="shared" si="71"/>
        <v>1</v>
      </c>
      <c r="AF151" s="78">
        <f t="shared" si="65"/>
        <v>469.51</v>
      </c>
      <c r="AG151" s="68" t="str">
        <f t="shared" si="66"/>
        <v>OK</v>
      </c>
    </row>
    <row r="152" spans="1:33" ht="30" outlineLevel="1" x14ac:dyDescent="0.25">
      <c r="A152" s="9" t="s">
        <v>24</v>
      </c>
      <c r="B152" s="9" t="s">
        <v>363</v>
      </c>
      <c r="C152" s="9" t="s">
        <v>311</v>
      </c>
      <c r="D152" s="10" t="s">
        <v>172</v>
      </c>
      <c r="E152" s="87" t="s">
        <v>17</v>
      </c>
      <c r="F152" s="87">
        <v>100</v>
      </c>
      <c r="G152" s="81">
        <v>1.61</v>
      </c>
      <c r="H152" s="81">
        <v>0.63</v>
      </c>
      <c r="I152" s="81">
        <f t="shared" si="67"/>
        <v>2.2400000000000002</v>
      </c>
      <c r="J152" s="81">
        <f t="shared" si="68"/>
        <v>224</v>
      </c>
      <c r="K152" s="86">
        <v>0.27760000000000001</v>
      </c>
      <c r="L152" s="81">
        <f t="shared" si="75"/>
        <v>205.69</v>
      </c>
      <c r="M152" s="81">
        <f t="shared" si="75"/>
        <v>80.48</v>
      </c>
      <c r="N152" s="81">
        <f t="shared" si="70"/>
        <v>286.17</v>
      </c>
      <c r="AB152" s="83">
        <v>1</v>
      </c>
      <c r="AC152" s="84">
        <f t="shared" si="78"/>
        <v>286.17</v>
      </c>
      <c r="AE152" s="85">
        <f t="shared" si="71"/>
        <v>1</v>
      </c>
      <c r="AF152" s="78">
        <f t="shared" si="65"/>
        <v>286.17</v>
      </c>
      <c r="AG152" s="68" t="str">
        <f t="shared" si="66"/>
        <v>OK</v>
      </c>
    </row>
    <row r="153" spans="1:33" ht="30" outlineLevel="1" x14ac:dyDescent="0.25">
      <c r="A153" s="9" t="s">
        <v>24</v>
      </c>
      <c r="B153" s="9" t="s">
        <v>364</v>
      </c>
      <c r="C153" s="9" t="s">
        <v>308</v>
      </c>
      <c r="D153" s="10" t="s">
        <v>169</v>
      </c>
      <c r="E153" s="87" t="s">
        <v>150</v>
      </c>
      <c r="F153" s="87">
        <v>1</v>
      </c>
      <c r="G153" s="81">
        <v>22.94</v>
      </c>
      <c r="H153" s="81">
        <v>11.58</v>
      </c>
      <c r="I153" s="81">
        <f t="shared" si="67"/>
        <v>34.520000000000003</v>
      </c>
      <c r="J153" s="81">
        <f t="shared" si="68"/>
        <v>34.520000000000003</v>
      </c>
      <c r="K153" s="86">
        <v>0.27760000000000001</v>
      </c>
      <c r="L153" s="81">
        <f t="shared" si="75"/>
        <v>29.3</v>
      </c>
      <c r="M153" s="81">
        <f t="shared" si="75"/>
        <v>14.79</v>
      </c>
      <c r="N153" s="81">
        <f t="shared" si="70"/>
        <v>44.09</v>
      </c>
      <c r="AB153" s="83">
        <v>1</v>
      </c>
      <c r="AC153" s="84">
        <f t="shared" si="78"/>
        <v>44.09</v>
      </c>
      <c r="AE153" s="85">
        <f t="shared" si="71"/>
        <v>1</v>
      </c>
      <c r="AF153" s="78">
        <f t="shared" si="65"/>
        <v>44.09</v>
      </c>
      <c r="AG153" s="68" t="str">
        <f t="shared" si="66"/>
        <v>OK</v>
      </c>
    </row>
    <row r="154" spans="1:33" ht="30" outlineLevel="1" x14ac:dyDescent="0.25">
      <c r="A154" s="9" t="s">
        <v>24</v>
      </c>
      <c r="B154" s="9" t="s">
        <v>365</v>
      </c>
      <c r="C154" s="9" t="s">
        <v>309</v>
      </c>
      <c r="D154" s="10" t="s">
        <v>222</v>
      </c>
      <c r="E154" s="87" t="s">
        <v>150</v>
      </c>
      <c r="F154" s="87">
        <v>5</v>
      </c>
      <c r="G154" s="81">
        <v>69.45</v>
      </c>
      <c r="H154" s="81">
        <v>7.58</v>
      </c>
      <c r="I154" s="81">
        <f t="shared" si="67"/>
        <v>77.03</v>
      </c>
      <c r="J154" s="81">
        <f t="shared" si="68"/>
        <v>385.15</v>
      </c>
      <c r="K154" s="86">
        <v>0.27760000000000001</v>
      </c>
      <c r="L154" s="81">
        <f t="shared" si="75"/>
        <v>443.64</v>
      </c>
      <c r="M154" s="81">
        <f t="shared" si="75"/>
        <v>48.42</v>
      </c>
      <c r="N154" s="81">
        <f t="shared" si="70"/>
        <v>492.06</v>
      </c>
      <c r="AB154" s="83">
        <v>1</v>
      </c>
      <c r="AC154" s="84">
        <f t="shared" si="78"/>
        <v>492.06</v>
      </c>
      <c r="AE154" s="85">
        <f t="shared" si="71"/>
        <v>1</v>
      </c>
      <c r="AF154" s="78">
        <f t="shared" si="65"/>
        <v>492.06</v>
      </c>
      <c r="AG154" s="68" t="str">
        <f t="shared" si="66"/>
        <v>OK</v>
      </c>
    </row>
    <row r="155" spans="1:33" outlineLevel="1" x14ac:dyDescent="0.25">
      <c r="A155" s="9" t="s">
        <v>24</v>
      </c>
      <c r="B155" s="9" t="s">
        <v>366</v>
      </c>
      <c r="C155" s="9" t="s">
        <v>327</v>
      </c>
      <c r="D155" s="10" t="s">
        <v>223</v>
      </c>
      <c r="E155" s="87" t="s">
        <v>157</v>
      </c>
      <c r="F155" s="87">
        <v>600</v>
      </c>
      <c r="G155" s="81">
        <f>0.38+0.01</f>
        <v>0.39</v>
      </c>
      <c r="H155" s="81">
        <v>0.83</v>
      </c>
      <c r="I155" s="81">
        <f t="shared" si="67"/>
        <v>1.22</v>
      </c>
      <c r="J155" s="81">
        <f t="shared" si="68"/>
        <v>732</v>
      </c>
      <c r="K155" s="86">
        <v>0.27760000000000001</v>
      </c>
      <c r="L155" s="81">
        <f t="shared" si="75"/>
        <v>298.95</v>
      </c>
      <c r="M155" s="81">
        <f t="shared" si="75"/>
        <v>636.24</v>
      </c>
      <c r="N155" s="81">
        <f t="shared" si="70"/>
        <v>935.19</v>
      </c>
      <c r="AB155" s="83">
        <v>1</v>
      </c>
      <c r="AC155" s="84">
        <f t="shared" si="78"/>
        <v>935.19</v>
      </c>
      <c r="AE155" s="85">
        <f t="shared" si="71"/>
        <v>1</v>
      </c>
      <c r="AF155" s="78">
        <f t="shared" si="65"/>
        <v>935.19</v>
      </c>
      <c r="AG155" s="68" t="str">
        <f t="shared" si="66"/>
        <v>OK</v>
      </c>
    </row>
    <row r="156" spans="1:33" outlineLevel="1" x14ac:dyDescent="0.25">
      <c r="A156" s="9" t="s">
        <v>24</v>
      </c>
      <c r="B156" s="9" t="s">
        <v>430</v>
      </c>
      <c r="C156" s="9" t="s">
        <v>431</v>
      </c>
      <c r="D156" s="10" t="s">
        <v>432</v>
      </c>
      <c r="E156" s="87" t="s">
        <v>150</v>
      </c>
      <c r="F156" s="87">
        <v>2</v>
      </c>
      <c r="G156" s="81">
        <f>'PCCU composicoes'!H42</f>
        <v>539.79999999999995</v>
      </c>
      <c r="H156" s="81">
        <f>'PCCU composicoes'!H43</f>
        <v>323.83999999999997</v>
      </c>
      <c r="I156" s="81">
        <f t="shared" si="67"/>
        <v>863.63999999999987</v>
      </c>
      <c r="J156" s="81">
        <f t="shared" si="68"/>
        <v>1727.28</v>
      </c>
      <c r="K156" s="86">
        <v>0.27760000000000001</v>
      </c>
      <c r="L156" s="81">
        <f t="shared" si="75"/>
        <v>1379.29</v>
      </c>
      <c r="M156" s="81">
        <f t="shared" si="75"/>
        <v>827.47</v>
      </c>
      <c r="N156" s="81">
        <f t="shared" si="70"/>
        <v>2206.7600000000002</v>
      </c>
      <c r="X156" s="83">
        <v>0.5</v>
      </c>
      <c r="Y156" s="84">
        <f t="shared" ref="Y156" si="79">X156*$N156</f>
        <v>1103.3800000000001</v>
      </c>
      <c r="AB156" s="83">
        <v>0.5</v>
      </c>
      <c r="AC156" s="84">
        <f t="shared" si="78"/>
        <v>1103.3800000000001</v>
      </c>
      <c r="AE156" s="85">
        <f t="shared" si="71"/>
        <v>1</v>
      </c>
      <c r="AF156" s="78">
        <f t="shared" si="65"/>
        <v>2206.7600000000002</v>
      </c>
      <c r="AG156" s="68" t="str">
        <f t="shared" si="66"/>
        <v>OK</v>
      </c>
    </row>
    <row r="158" spans="1:33" x14ac:dyDescent="0.25">
      <c r="A158" s="5" t="s">
        <v>368</v>
      </c>
      <c r="B158" s="6"/>
      <c r="C158" s="6"/>
      <c r="D158" s="29"/>
      <c r="E158" s="6"/>
      <c r="F158" s="7"/>
      <c r="G158" s="7"/>
      <c r="H158" s="7"/>
      <c r="I158" s="8"/>
      <c r="J158" s="8"/>
      <c r="K158" s="8"/>
      <c r="L158" s="8"/>
      <c r="M158" s="8"/>
      <c r="N158" s="8">
        <f>SUM(N159:N167)</f>
        <v>6866.56</v>
      </c>
      <c r="P158" s="76">
        <f>N158/$N$170</f>
        <v>2.00328113372614E-2</v>
      </c>
      <c r="Q158" s="76"/>
      <c r="T158" s="77">
        <f>U158/$N$170</f>
        <v>0</v>
      </c>
      <c r="U158" s="75">
        <f>SUM(U159:U167)</f>
        <v>0</v>
      </c>
      <c r="V158" s="77">
        <f>W158/$N$170</f>
        <v>0</v>
      </c>
      <c r="W158" s="75">
        <f>SUM(W159:W167)</f>
        <v>0</v>
      </c>
      <c r="X158" s="77">
        <f>Y158/$N$170</f>
        <v>0</v>
      </c>
      <c r="Y158" s="75">
        <f>SUM(Y159:Y167)</f>
        <v>0</v>
      </c>
      <c r="Z158" s="58">
        <f>AA158/$N$170</f>
        <v>1.5024608502946049E-2</v>
      </c>
      <c r="AA158" s="8">
        <f>SUM(AA159:AA167)</f>
        <v>5149.92</v>
      </c>
      <c r="AB158" s="58">
        <f>AC158/$N$170</f>
        <v>5.0082028343153501E-3</v>
      </c>
      <c r="AC158" s="8">
        <f>SUM(AC159:AC167)</f>
        <v>1716.64</v>
      </c>
      <c r="AE158" s="71"/>
      <c r="AF158" s="78">
        <f t="shared" ref="AF158:AF167" si="80">SUM(U158,Y158,AA158,AC158)</f>
        <v>6866.56</v>
      </c>
      <c r="AG158" s="68" t="str">
        <f t="shared" ref="AG158:AG167" si="81">IF(AF158=N158,"OK","VERIFICAR")</f>
        <v>OK</v>
      </c>
    </row>
    <row r="159" spans="1:33" ht="30" outlineLevel="1" x14ac:dyDescent="0.25">
      <c r="A159" s="9" t="s">
        <v>24</v>
      </c>
      <c r="B159" s="9" t="s">
        <v>367</v>
      </c>
      <c r="C159" s="9" t="s">
        <v>410</v>
      </c>
      <c r="D159" s="10" t="s">
        <v>411</v>
      </c>
      <c r="E159" s="87" t="s">
        <v>84</v>
      </c>
      <c r="F159" s="87">
        <f>6*5</f>
        <v>30</v>
      </c>
      <c r="G159" s="81">
        <v>25.39</v>
      </c>
      <c r="H159" s="81">
        <v>8.73</v>
      </c>
      <c r="I159" s="81">
        <f t="shared" ref="I159:I167" si="82">G159+H159</f>
        <v>34.120000000000005</v>
      </c>
      <c r="J159" s="81">
        <f t="shared" ref="J159:J167" si="83">TRUNC(I159*F159,2)</f>
        <v>1023.6</v>
      </c>
      <c r="K159" s="86">
        <v>0.27760000000000001</v>
      </c>
      <c r="L159" s="81">
        <f t="shared" ref="L159:M167" si="84">TRUNC($F159*G159*(1+$K159),2)</f>
        <v>973.14</v>
      </c>
      <c r="M159" s="81">
        <f t="shared" si="84"/>
        <v>334.6</v>
      </c>
      <c r="N159" s="81">
        <f t="shared" ref="N159:N167" si="85">M159+L159</f>
        <v>1307.74</v>
      </c>
      <c r="Z159" s="83">
        <v>0.75</v>
      </c>
      <c r="AA159" s="84">
        <f t="shared" ref="AA159:AA167" si="86">Z159*$N159</f>
        <v>980.80500000000006</v>
      </c>
      <c r="AB159" s="83">
        <v>0.25</v>
      </c>
      <c r="AC159" s="84">
        <f t="shared" ref="AC159:AC167" si="87">AB159*$N159</f>
        <v>326.935</v>
      </c>
      <c r="AE159" s="85">
        <f t="shared" ref="AE159:AE167" si="88">SUM(T159,X159,Z159,AB159)</f>
        <v>1</v>
      </c>
      <c r="AF159" s="78">
        <f t="shared" si="80"/>
        <v>1307.74</v>
      </c>
      <c r="AG159" s="68" t="str">
        <f t="shared" si="81"/>
        <v>OK</v>
      </c>
    </row>
    <row r="160" spans="1:33" ht="30" outlineLevel="1" x14ac:dyDescent="0.25">
      <c r="A160" s="9" t="s">
        <v>24</v>
      </c>
      <c r="B160" s="9" t="s">
        <v>369</v>
      </c>
      <c r="C160" s="9" t="s">
        <v>378</v>
      </c>
      <c r="D160" s="10" t="s">
        <v>379</v>
      </c>
      <c r="E160" s="87" t="s">
        <v>84</v>
      </c>
      <c r="F160" s="87">
        <v>90</v>
      </c>
      <c r="G160" s="81">
        <v>24.17</v>
      </c>
      <c r="H160" s="81">
        <v>0.69</v>
      </c>
      <c r="I160" s="81">
        <f t="shared" si="82"/>
        <v>24.860000000000003</v>
      </c>
      <c r="J160" s="81">
        <f t="shared" si="83"/>
        <v>2237.4</v>
      </c>
      <c r="K160" s="86">
        <v>0.27760000000000001</v>
      </c>
      <c r="L160" s="81">
        <f t="shared" si="84"/>
        <v>2779.16</v>
      </c>
      <c r="M160" s="81">
        <f t="shared" si="84"/>
        <v>79.33</v>
      </c>
      <c r="N160" s="81">
        <f t="shared" si="85"/>
        <v>2858.49</v>
      </c>
      <c r="Z160" s="83">
        <v>0.75</v>
      </c>
      <c r="AA160" s="84">
        <f t="shared" si="86"/>
        <v>2143.8674999999998</v>
      </c>
      <c r="AB160" s="83">
        <v>0.25</v>
      </c>
      <c r="AC160" s="84">
        <f t="shared" si="87"/>
        <v>714.62249999999995</v>
      </c>
      <c r="AE160" s="85">
        <f t="shared" si="88"/>
        <v>1</v>
      </c>
      <c r="AF160" s="78">
        <f t="shared" si="80"/>
        <v>2858.49</v>
      </c>
      <c r="AG160" s="68" t="str">
        <f t="shared" si="81"/>
        <v>OK</v>
      </c>
    </row>
    <row r="161" spans="1:33" ht="30" outlineLevel="1" x14ac:dyDescent="0.25">
      <c r="A161" s="9" t="s">
        <v>24</v>
      </c>
      <c r="B161" s="9" t="s">
        <v>370</v>
      </c>
      <c r="C161" s="9" t="s">
        <v>400</v>
      </c>
      <c r="D161" s="10" t="s">
        <v>374</v>
      </c>
      <c r="E161" s="87" t="s">
        <v>9</v>
      </c>
      <c r="F161" s="87">
        <v>6</v>
      </c>
      <c r="G161" s="81">
        <v>7.95</v>
      </c>
      <c r="H161" s="81">
        <v>8.51</v>
      </c>
      <c r="I161" s="81">
        <f t="shared" si="82"/>
        <v>16.46</v>
      </c>
      <c r="J161" s="81">
        <f t="shared" si="83"/>
        <v>98.76</v>
      </c>
      <c r="K161" s="86">
        <v>0.27760000000000001</v>
      </c>
      <c r="L161" s="81">
        <f t="shared" si="84"/>
        <v>60.94</v>
      </c>
      <c r="M161" s="81">
        <f t="shared" si="84"/>
        <v>65.23</v>
      </c>
      <c r="N161" s="81">
        <f t="shared" si="85"/>
        <v>126.17</v>
      </c>
      <c r="Z161" s="83">
        <v>0.75</v>
      </c>
      <c r="AA161" s="84">
        <f t="shared" si="86"/>
        <v>94.627499999999998</v>
      </c>
      <c r="AB161" s="83">
        <v>0.25</v>
      </c>
      <c r="AC161" s="84">
        <f t="shared" si="87"/>
        <v>31.5425</v>
      </c>
      <c r="AE161" s="85">
        <f t="shared" si="88"/>
        <v>1</v>
      </c>
      <c r="AF161" s="78">
        <f t="shared" si="80"/>
        <v>126.17</v>
      </c>
      <c r="AG161" s="68" t="str">
        <f t="shared" si="81"/>
        <v>OK</v>
      </c>
    </row>
    <row r="162" spans="1:33" ht="30" outlineLevel="1" x14ac:dyDescent="0.25">
      <c r="A162" s="9" t="s">
        <v>24</v>
      </c>
      <c r="B162" s="9" t="s">
        <v>371</v>
      </c>
      <c r="C162" s="9" t="s">
        <v>401</v>
      </c>
      <c r="D162" s="10" t="s">
        <v>403</v>
      </c>
      <c r="E162" s="87" t="s">
        <v>9</v>
      </c>
      <c r="F162" s="87">
        <v>12</v>
      </c>
      <c r="G162" s="81">
        <v>28.46</v>
      </c>
      <c r="H162" s="81">
        <v>4.26</v>
      </c>
      <c r="I162" s="81">
        <f t="shared" si="82"/>
        <v>32.72</v>
      </c>
      <c r="J162" s="81">
        <f t="shared" si="83"/>
        <v>392.64</v>
      </c>
      <c r="K162" s="86">
        <v>0.27760000000000001</v>
      </c>
      <c r="L162" s="81">
        <f t="shared" si="84"/>
        <v>436.32</v>
      </c>
      <c r="M162" s="81">
        <f t="shared" si="84"/>
        <v>65.31</v>
      </c>
      <c r="N162" s="81">
        <f t="shared" si="85"/>
        <v>501.63</v>
      </c>
      <c r="Z162" s="83">
        <v>0.75</v>
      </c>
      <c r="AA162" s="84">
        <f t="shared" si="86"/>
        <v>376.22249999999997</v>
      </c>
      <c r="AB162" s="83">
        <v>0.25</v>
      </c>
      <c r="AC162" s="84">
        <f t="shared" si="87"/>
        <v>125.4075</v>
      </c>
      <c r="AE162" s="85">
        <f t="shared" si="88"/>
        <v>1</v>
      </c>
      <c r="AF162" s="78">
        <f t="shared" si="80"/>
        <v>501.63</v>
      </c>
      <c r="AG162" s="68" t="str">
        <f t="shared" si="81"/>
        <v>OK</v>
      </c>
    </row>
    <row r="163" spans="1:33" ht="30" outlineLevel="1" x14ac:dyDescent="0.25">
      <c r="A163" s="9" t="s">
        <v>24</v>
      </c>
      <c r="B163" s="9" t="s">
        <v>372</v>
      </c>
      <c r="C163" s="9" t="s">
        <v>244</v>
      </c>
      <c r="D163" s="10" t="s">
        <v>33</v>
      </c>
      <c r="E163" s="87" t="s">
        <v>34</v>
      </c>
      <c r="F163" s="87">
        <v>1</v>
      </c>
      <c r="G163" s="81">
        <v>29.43</v>
      </c>
      <c r="H163" s="81">
        <v>0</v>
      </c>
      <c r="I163" s="81">
        <f t="shared" si="82"/>
        <v>29.43</v>
      </c>
      <c r="J163" s="81">
        <f t="shared" si="83"/>
        <v>29.43</v>
      </c>
      <c r="K163" s="86">
        <v>0.27760000000000001</v>
      </c>
      <c r="L163" s="81">
        <f t="shared" si="84"/>
        <v>37.590000000000003</v>
      </c>
      <c r="M163" s="81">
        <f t="shared" si="84"/>
        <v>0</v>
      </c>
      <c r="N163" s="81">
        <f t="shared" si="85"/>
        <v>37.590000000000003</v>
      </c>
      <c r="Z163" s="83">
        <v>0.75</v>
      </c>
      <c r="AA163" s="84">
        <f t="shared" si="86"/>
        <v>28.192500000000003</v>
      </c>
      <c r="AB163" s="83">
        <v>0.25</v>
      </c>
      <c r="AC163" s="84">
        <f t="shared" si="87"/>
        <v>9.3975000000000009</v>
      </c>
      <c r="AE163" s="85">
        <f t="shared" si="88"/>
        <v>1</v>
      </c>
      <c r="AF163" s="78">
        <f t="shared" si="80"/>
        <v>37.590000000000003</v>
      </c>
      <c r="AG163" s="68" t="str">
        <f t="shared" si="81"/>
        <v>OK</v>
      </c>
    </row>
    <row r="164" spans="1:33" ht="30" outlineLevel="1" x14ac:dyDescent="0.25">
      <c r="A164" s="9" t="s">
        <v>24</v>
      </c>
      <c r="B164" s="9" t="s">
        <v>373</v>
      </c>
      <c r="C164" s="9" t="s">
        <v>404</v>
      </c>
      <c r="D164" s="10" t="s">
        <v>376</v>
      </c>
      <c r="E164" s="87" t="s">
        <v>377</v>
      </c>
      <c r="F164" s="87">
        <f>100*0.3*0.333333</f>
        <v>9.9999900000000004</v>
      </c>
      <c r="G164" s="81">
        <v>17.5</v>
      </c>
      <c r="H164" s="81">
        <v>36.42</v>
      </c>
      <c r="I164" s="81">
        <f t="shared" si="82"/>
        <v>53.92</v>
      </c>
      <c r="J164" s="81">
        <f t="shared" si="83"/>
        <v>539.19000000000005</v>
      </c>
      <c r="K164" s="86">
        <v>0.27760000000000001</v>
      </c>
      <c r="L164" s="81">
        <f t="shared" si="84"/>
        <v>223.57</v>
      </c>
      <c r="M164" s="81">
        <f t="shared" si="84"/>
        <v>465.3</v>
      </c>
      <c r="N164" s="81">
        <f t="shared" si="85"/>
        <v>688.87</v>
      </c>
      <c r="Z164" s="83">
        <v>0.75</v>
      </c>
      <c r="AA164" s="84">
        <f t="shared" si="86"/>
        <v>516.65250000000003</v>
      </c>
      <c r="AB164" s="83">
        <v>0.25</v>
      </c>
      <c r="AC164" s="84">
        <f t="shared" si="87"/>
        <v>172.2175</v>
      </c>
      <c r="AE164" s="85">
        <f t="shared" si="88"/>
        <v>1</v>
      </c>
      <c r="AF164" s="78">
        <f t="shared" si="80"/>
        <v>688.87</v>
      </c>
      <c r="AG164" s="68" t="str">
        <f t="shared" si="81"/>
        <v>OK</v>
      </c>
    </row>
    <row r="165" spans="1:33" outlineLevel="1" x14ac:dyDescent="0.25">
      <c r="A165" s="9" t="s">
        <v>24</v>
      </c>
      <c r="B165" s="9" t="s">
        <v>405</v>
      </c>
      <c r="C165" s="9" t="s">
        <v>406</v>
      </c>
      <c r="D165" s="10" t="s">
        <v>407</v>
      </c>
      <c r="E165" s="87" t="s">
        <v>377</v>
      </c>
      <c r="F165" s="87">
        <v>10</v>
      </c>
      <c r="G165" s="81">
        <v>10.61</v>
      </c>
      <c r="H165" s="81">
        <v>22.08</v>
      </c>
      <c r="I165" s="81">
        <f t="shared" si="82"/>
        <v>32.69</v>
      </c>
      <c r="J165" s="81">
        <f t="shared" si="83"/>
        <v>326.89999999999998</v>
      </c>
      <c r="K165" s="86">
        <v>0.27760000000000001</v>
      </c>
      <c r="L165" s="81">
        <f t="shared" si="84"/>
        <v>135.55000000000001</v>
      </c>
      <c r="M165" s="81">
        <f t="shared" si="84"/>
        <v>282.08999999999997</v>
      </c>
      <c r="N165" s="81">
        <f t="shared" si="85"/>
        <v>417.64</v>
      </c>
      <c r="Z165" s="83">
        <v>0.75</v>
      </c>
      <c r="AA165" s="84">
        <f t="shared" si="86"/>
        <v>313.23</v>
      </c>
      <c r="AB165" s="83">
        <v>0.25</v>
      </c>
      <c r="AC165" s="84">
        <f t="shared" si="87"/>
        <v>104.41</v>
      </c>
      <c r="AE165" s="85">
        <f t="shared" si="88"/>
        <v>1</v>
      </c>
      <c r="AF165" s="78">
        <f t="shared" si="80"/>
        <v>417.64</v>
      </c>
      <c r="AG165" s="68" t="str">
        <f t="shared" si="81"/>
        <v>OK</v>
      </c>
    </row>
    <row r="166" spans="1:33" ht="30" outlineLevel="1" x14ac:dyDescent="0.25">
      <c r="A166" s="9" t="s">
        <v>24</v>
      </c>
      <c r="B166" s="9" t="s">
        <v>408</v>
      </c>
      <c r="C166" s="9" t="s">
        <v>321</v>
      </c>
      <c r="D166" s="10" t="s">
        <v>214</v>
      </c>
      <c r="E166" s="87" t="s">
        <v>157</v>
      </c>
      <c r="F166" s="87">
        <f>80*0.4</f>
        <v>32</v>
      </c>
      <c r="G166" s="81">
        <v>2.74</v>
      </c>
      <c r="H166" s="81">
        <v>7.56</v>
      </c>
      <c r="I166" s="81">
        <f t="shared" si="82"/>
        <v>10.3</v>
      </c>
      <c r="J166" s="81">
        <f t="shared" si="83"/>
        <v>329.6</v>
      </c>
      <c r="K166" s="86">
        <v>0.27760000000000001</v>
      </c>
      <c r="L166" s="81">
        <f t="shared" si="84"/>
        <v>112.01</v>
      </c>
      <c r="M166" s="81">
        <f t="shared" si="84"/>
        <v>309.07</v>
      </c>
      <c r="N166" s="81">
        <f t="shared" si="85"/>
        <v>421.08</v>
      </c>
      <c r="Z166" s="83">
        <v>0.75</v>
      </c>
      <c r="AA166" s="84">
        <f t="shared" si="86"/>
        <v>315.81</v>
      </c>
      <c r="AB166" s="83">
        <v>0.25</v>
      </c>
      <c r="AC166" s="84">
        <f t="shared" si="87"/>
        <v>105.27</v>
      </c>
      <c r="AE166" s="85">
        <f t="shared" si="88"/>
        <v>1</v>
      </c>
      <c r="AF166" s="78">
        <f t="shared" si="80"/>
        <v>421.08</v>
      </c>
      <c r="AG166" s="68" t="str">
        <f t="shared" si="81"/>
        <v>OK</v>
      </c>
    </row>
    <row r="167" spans="1:33" outlineLevel="1" x14ac:dyDescent="0.25">
      <c r="A167" s="9" t="s">
        <v>24</v>
      </c>
      <c r="B167" s="9" t="s">
        <v>409</v>
      </c>
      <c r="C167" s="9" t="s">
        <v>325</v>
      </c>
      <c r="D167" s="10" t="s">
        <v>217</v>
      </c>
      <c r="E167" s="87" t="s">
        <v>157</v>
      </c>
      <c r="F167" s="87">
        <f>80*0.4</f>
        <v>32</v>
      </c>
      <c r="G167" s="81">
        <v>7.07</v>
      </c>
      <c r="H167" s="81">
        <v>5.34</v>
      </c>
      <c r="I167" s="81">
        <f t="shared" si="82"/>
        <v>12.41</v>
      </c>
      <c r="J167" s="81">
        <f t="shared" si="83"/>
        <v>397.12</v>
      </c>
      <c r="K167" s="86">
        <v>0.27760000000000001</v>
      </c>
      <c r="L167" s="81">
        <f t="shared" si="84"/>
        <v>289.04000000000002</v>
      </c>
      <c r="M167" s="81">
        <f t="shared" si="84"/>
        <v>218.31</v>
      </c>
      <c r="N167" s="81">
        <f t="shared" si="85"/>
        <v>507.35</v>
      </c>
      <c r="Z167" s="83">
        <v>0.75</v>
      </c>
      <c r="AA167" s="84">
        <f t="shared" si="86"/>
        <v>380.51250000000005</v>
      </c>
      <c r="AB167" s="83">
        <v>0.25</v>
      </c>
      <c r="AC167" s="84">
        <f t="shared" si="87"/>
        <v>126.83750000000001</v>
      </c>
      <c r="AE167" s="85">
        <f t="shared" si="88"/>
        <v>1</v>
      </c>
      <c r="AF167" s="78">
        <f t="shared" si="80"/>
        <v>507.35</v>
      </c>
      <c r="AG167" s="68" t="str">
        <f t="shared" si="81"/>
        <v>OK</v>
      </c>
    </row>
    <row r="170" spans="1:33" ht="30" customHeight="1" x14ac:dyDescent="0.25">
      <c r="A170" s="72"/>
      <c r="B170" s="72"/>
      <c r="C170" s="72"/>
      <c r="D170" s="72" t="s">
        <v>428</v>
      </c>
      <c r="E170" s="72"/>
      <c r="F170" s="72"/>
      <c r="G170" s="75"/>
      <c r="H170" s="75"/>
      <c r="I170" s="72"/>
      <c r="J170" s="75">
        <f>SUM(J7:J169)</f>
        <v>287169.06999999995</v>
      </c>
      <c r="K170" s="100"/>
      <c r="L170" s="75">
        <f>SUM(L7:L169)</f>
        <v>315399.28000000003</v>
      </c>
      <c r="M170" s="75">
        <f>SUM(M7:M169)</f>
        <v>27366.390000000014</v>
      </c>
      <c r="N170" s="75">
        <f>SUM(N7:N169)/2</f>
        <v>342765.67000000004</v>
      </c>
      <c r="Q170" s="101">
        <f>SUM(Q7:Q167)</f>
        <v>0.28827886993466989</v>
      </c>
      <c r="S170" s="102" t="s">
        <v>428</v>
      </c>
      <c r="T170" s="77">
        <f>U170/$N$170</f>
        <v>7.2321069960127569E-3</v>
      </c>
      <c r="U170" s="75">
        <f>SUM(U7:U169)/2</f>
        <v>2478.9180000000001</v>
      </c>
      <c r="V170" s="77">
        <f>W170/$N$170</f>
        <v>0</v>
      </c>
      <c r="W170" s="75">
        <f>SUM(W7:W169)/2</f>
        <v>0</v>
      </c>
      <c r="X170" s="77">
        <f>Y170/$N$170</f>
        <v>6.4129934599343047E-3</v>
      </c>
      <c r="Y170" s="75">
        <f>SUM(Y7:Y169)/2</f>
        <v>2198.1540000000005</v>
      </c>
      <c r="Z170" s="77">
        <f>AA170/$N$170</f>
        <v>0.58243032769296887</v>
      </c>
      <c r="AA170" s="75">
        <f>SUM(AA7:AA169)/2</f>
        <v>199637.12150000004</v>
      </c>
      <c r="AB170" s="77">
        <f>AC170/$N$170</f>
        <v>0.40392457185108427</v>
      </c>
      <c r="AC170" s="75">
        <f>SUM(AC7:AC169)/2</f>
        <v>138451.47650000005</v>
      </c>
      <c r="AF170" s="75">
        <f>SUM(AF7:AF169)/2</f>
        <v>342765.67000000004</v>
      </c>
    </row>
    <row r="171" spans="1:33" x14ac:dyDescent="0.25">
      <c r="L171" s="103">
        <f>L170/$N$170</f>
        <v>0.92016006153708452</v>
      </c>
      <c r="M171" s="103">
        <f>M170/$N$170</f>
        <v>7.9839938462915525E-2</v>
      </c>
      <c r="N171" s="103">
        <f>N170/$N$170</f>
        <v>1</v>
      </c>
      <c r="T171" s="104"/>
      <c r="V171" s="104"/>
      <c r="X171" s="104"/>
      <c r="Z171" s="104"/>
      <c r="AB171" s="104"/>
    </row>
    <row r="172" spans="1:33" ht="45" x14ac:dyDescent="0.25">
      <c r="S172" s="105" t="s">
        <v>429</v>
      </c>
      <c r="T172" s="77">
        <f>T170</f>
        <v>7.2321069960127569E-3</v>
      </c>
      <c r="U172" s="75">
        <f>U170</f>
        <v>2478.9180000000001</v>
      </c>
      <c r="V172" s="77">
        <f>V170</f>
        <v>0</v>
      </c>
      <c r="W172" s="75">
        <f>W170+U172</f>
        <v>2478.9180000000001</v>
      </c>
      <c r="X172" s="77">
        <f>X170+T172</f>
        <v>1.3645100455947062E-2</v>
      </c>
      <c r="Y172" s="75">
        <f>Y170+W172</f>
        <v>4677.0720000000001</v>
      </c>
      <c r="Z172" s="77">
        <f t="shared" ref="Z172:AC172" si="89">Z170+X172</f>
        <v>0.5960754281489159</v>
      </c>
      <c r="AA172" s="75">
        <f t="shared" si="89"/>
        <v>204314.19350000005</v>
      </c>
      <c r="AB172" s="77">
        <f t="shared" si="89"/>
        <v>1.0000000000000002</v>
      </c>
      <c r="AC172" s="75">
        <f t="shared" si="89"/>
        <v>342765.6700000001</v>
      </c>
    </row>
    <row r="178" spans="13:29" x14ac:dyDescent="0.25">
      <c r="M178" s="78">
        <f>L170+M170</f>
        <v>342765.67000000004</v>
      </c>
      <c r="N178" s="68" t="str">
        <f>IF(N170=M178,"OK","REVISAR")</f>
        <v>OK</v>
      </c>
      <c r="AC178" s="68" t="str">
        <f>IF(AC172=M178,"OK","REVISAR")</f>
        <v>OK</v>
      </c>
    </row>
  </sheetData>
  <conditionalFormatting sqref="M178">
    <cfRule type="cellIs" dxfId="71" priority="35" operator="notEqual">
      <formula>$N$170</formula>
    </cfRule>
    <cfRule type="cellIs" dxfId="70" priority="36" operator="equal">
      <formula>$N$170</formula>
    </cfRule>
  </conditionalFormatting>
  <conditionalFormatting sqref="AF81:AF120 AF126:AF156">
    <cfRule type="cellIs" dxfId="69" priority="19" operator="notEqual">
      <formula>$N81</formula>
    </cfRule>
    <cfRule type="cellIs" dxfId="68" priority="20" operator="equal">
      <formula>$N81</formula>
    </cfRule>
  </conditionalFormatting>
  <conditionalFormatting sqref="AF8:AF25">
    <cfRule type="cellIs" dxfId="67" priority="33" operator="notEqual">
      <formula>$N8</formula>
    </cfRule>
    <cfRule type="cellIs" dxfId="66" priority="34" operator="equal">
      <formula>$N8</formula>
    </cfRule>
  </conditionalFormatting>
  <conditionalFormatting sqref="AF123">
    <cfRule type="cellIs" dxfId="65" priority="31" operator="notEqual">
      <formula>$N123</formula>
    </cfRule>
    <cfRule type="cellIs" dxfId="64" priority="32" operator="equal">
      <formula>$N123</formula>
    </cfRule>
  </conditionalFormatting>
  <conditionalFormatting sqref="AF159:AF167">
    <cfRule type="cellIs" dxfId="63" priority="29" operator="notEqual">
      <formula>$N159</formula>
    </cfRule>
    <cfRule type="cellIs" dxfId="62" priority="30" operator="equal">
      <formula>$N159</formula>
    </cfRule>
  </conditionalFormatting>
  <conditionalFormatting sqref="AF28:AF35">
    <cfRule type="cellIs" dxfId="61" priority="27" operator="notEqual">
      <formula>$N28</formula>
    </cfRule>
    <cfRule type="cellIs" dxfId="60" priority="28" operator="equal">
      <formula>$N28</formula>
    </cfRule>
  </conditionalFormatting>
  <conditionalFormatting sqref="AF38:AF45">
    <cfRule type="cellIs" dxfId="59" priority="25" operator="notEqual">
      <formula>$N38</formula>
    </cfRule>
    <cfRule type="cellIs" dxfId="58" priority="26" operator="equal">
      <formula>$N38</formula>
    </cfRule>
  </conditionalFormatting>
  <conditionalFormatting sqref="AF48:AF57">
    <cfRule type="cellIs" dxfId="57" priority="23" operator="notEqual">
      <formula>$N48</formula>
    </cfRule>
    <cfRule type="cellIs" dxfId="56" priority="24" operator="equal">
      <formula>$N48</formula>
    </cfRule>
  </conditionalFormatting>
  <conditionalFormatting sqref="AF60:AF78">
    <cfRule type="cellIs" dxfId="55" priority="21" operator="notEqual">
      <formula>$N60</formula>
    </cfRule>
    <cfRule type="cellIs" dxfId="54" priority="22" operator="equal">
      <formula>$N60</formula>
    </cfRule>
  </conditionalFormatting>
  <conditionalFormatting sqref="AF158">
    <cfRule type="cellIs" dxfId="53" priority="17" operator="notEqual">
      <formula>$N158</formula>
    </cfRule>
    <cfRule type="cellIs" dxfId="52" priority="18" operator="equal">
      <formula>$N158</formula>
    </cfRule>
  </conditionalFormatting>
  <conditionalFormatting sqref="AF125">
    <cfRule type="cellIs" dxfId="51" priority="15" operator="notEqual">
      <formula>$N125</formula>
    </cfRule>
    <cfRule type="cellIs" dxfId="50" priority="16" operator="equal">
      <formula>$N125</formula>
    </cfRule>
  </conditionalFormatting>
  <conditionalFormatting sqref="AF122">
    <cfRule type="cellIs" dxfId="49" priority="13" operator="notEqual">
      <formula>$N122</formula>
    </cfRule>
    <cfRule type="cellIs" dxfId="48" priority="14" operator="equal">
      <formula>$N122</formula>
    </cfRule>
  </conditionalFormatting>
  <conditionalFormatting sqref="AF80">
    <cfRule type="cellIs" dxfId="47" priority="11" operator="notEqual">
      <formula>$N80</formula>
    </cfRule>
    <cfRule type="cellIs" dxfId="46" priority="12" operator="equal">
      <formula>$N80</formula>
    </cfRule>
  </conditionalFormatting>
  <conditionalFormatting sqref="AF59">
    <cfRule type="cellIs" dxfId="45" priority="9" operator="notEqual">
      <formula>$N59</formula>
    </cfRule>
    <cfRule type="cellIs" dxfId="44" priority="10" operator="equal">
      <formula>$N59</formula>
    </cfRule>
  </conditionalFormatting>
  <conditionalFormatting sqref="AF47">
    <cfRule type="cellIs" dxfId="43" priority="7" operator="notEqual">
      <formula>$N47</formula>
    </cfRule>
    <cfRule type="cellIs" dxfId="42" priority="8" operator="equal">
      <formula>$N47</formula>
    </cfRule>
  </conditionalFormatting>
  <conditionalFormatting sqref="AF37">
    <cfRule type="cellIs" dxfId="41" priority="5" operator="notEqual">
      <formula>$N37</formula>
    </cfRule>
    <cfRule type="cellIs" dxfId="40" priority="6" operator="equal">
      <formula>$N37</formula>
    </cfRule>
  </conditionalFormatting>
  <conditionalFormatting sqref="AF27">
    <cfRule type="cellIs" dxfId="39" priority="3" operator="notEqual">
      <formula>$N27</formula>
    </cfRule>
    <cfRule type="cellIs" dxfId="38" priority="4" operator="equal">
      <formula>$N27</formula>
    </cfRule>
  </conditionalFormatting>
  <conditionalFormatting sqref="AF7">
    <cfRule type="cellIs" dxfId="37" priority="1" operator="notEqual">
      <formula>$N7</formula>
    </cfRule>
    <cfRule type="cellIs" dxfId="36" priority="2" operator="equal">
      <formula>$N7</formula>
    </cfRule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9"/>
  <sheetViews>
    <sheetView zoomScale="85" zoomScaleNormal="85" workbookViewId="0">
      <pane xSplit="4" ySplit="5" topLeftCell="J163" activePane="bottomRight" state="frozen"/>
      <selection pane="topRight" activeCell="E1" sqref="E1"/>
      <selection pane="bottomLeft" activeCell="A3" sqref="A3"/>
      <selection pane="bottomRight" activeCell="D8" sqref="D8"/>
    </sheetView>
  </sheetViews>
  <sheetFormatPr defaultRowHeight="15" outlineLevelRow="1" x14ac:dyDescent="0.25"/>
  <cols>
    <col min="1" max="1" width="11.42578125" style="4" bestFit="1" customWidth="1"/>
    <col min="2" max="2" width="6.7109375" style="4" bestFit="1" customWidth="1"/>
    <col min="3" max="3" width="14.28515625" style="4" customWidth="1"/>
    <col min="4" max="4" width="75.28515625" style="4" customWidth="1"/>
    <col min="5" max="5" width="11.140625" style="4" bestFit="1" customWidth="1"/>
    <col min="6" max="6" width="16" style="4" bestFit="1" customWidth="1"/>
    <col min="7" max="8" width="16" style="4" customWidth="1"/>
    <col min="9" max="9" width="13.42578125" style="4" customWidth="1"/>
    <col min="10" max="10" width="15.7109375" style="4" customWidth="1"/>
    <col min="11" max="11" width="9.140625" style="4"/>
    <col min="12" max="12" width="13.5703125" style="4" customWidth="1"/>
    <col min="13" max="13" width="13.85546875" style="4" customWidth="1"/>
    <col min="14" max="14" width="15.85546875" style="4" customWidth="1"/>
    <col min="15" max="15" width="2.7109375" style="4" customWidth="1"/>
    <col min="16" max="16" width="7.140625" style="4" bestFit="1" customWidth="1"/>
    <col min="17" max="17" width="20" style="4" customWidth="1"/>
    <col min="18" max="18" width="2.7109375" style="4" customWidth="1"/>
    <col min="19" max="19" width="12.28515625" style="4" customWidth="1"/>
    <col min="20" max="20" width="9.140625" style="4"/>
    <col min="21" max="21" width="13.85546875" style="4" bestFit="1" customWidth="1"/>
    <col min="22" max="22" width="9.140625" style="4"/>
    <col min="23" max="23" width="11.7109375" style="4" bestFit="1" customWidth="1"/>
    <col min="24" max="24" width="9.140625" style="4"/>
    <col min="25" max="25" width="13.85546875" style="4" bestFit="1" customWidth="1"/>
    <col min="26" max="26" width="9.140625" style="4"/>
    <col min="27" max="27" width="13.85546875" style="4" bestFit="1" customWidth="1"/>
    <col min="28" max="28" width="3.42578125" style="4" customWidth="1"/>
    <col min="29" max="29" width="9.140625" style="4"/>
    <col min="30" max="30" width="13.85546875" style="4" bestFit="1" customWidth="1"/>
    <col min="31" max="31" width="11.7109375" style="4" bestFit="1" customWidth="1"/>
    <col min="32" max="16384" width="9.140625" style="4"/>
  </cols>
  <sheetData>
    <row r="1" spans="1:31" x14ac:dyDescent="0.25">
      <c r="A1" s="36" t="s">
        <v>441</v>
      </c>
    </row>
    <row r="3" spans="1:31" x14ac:dyDescent="0.25">
      <c r="A3" s="36" t="s">
        <v>235</v>
      </c>
    </row>
    <row r="4" spans="1:31" x14ac:dyDescent="0.25">
      <c r="T4" s="38" t="s">
        <v>416</v>
      </c>
      <c r="U4" s="39"/>
      <c r="V4" s="38" t="s">
        <v>417</v>
      </c>
      <c r="W4" s="39"/>
      <c r="X4" s="38" t="s">
        <v>418</v>
      </c>
      <c r="Y4" s="39"/>
      <c r="Z4" s="38" t="s">
        <v>419</v>
      </c>
      <c r="AA4" s="39"/>
      <c r="AC4" s="40" t="s">
        <v>420</v>
      </c>
      <c r="AD4" s="41"/>
    </row>
    <row r="5" spans="1:31" ht="75" x14ac:dyDescent="0.25">
      <c r="A5" s="1" t="s">
        <v>0</v>
      </c>
      <c r="B5" s="1" t="s">
        <v>1</v>
      </c>
      <c r="C5" s="1" t="s">
        <v>2</v>
      </c>
      <c r="D5" s="2" t="s">
        <v>3</v>
      </c>
      <c r="E5" s="1" t="s">
        <v>4</v>
      </c>
      <c r="F5" s="3" t="s">
        <v>5</v>
      </c>
      <c r="G5" s="11" t="s">
        <v>248</v>
      </c>
      <c r="H5" s="11" t="s">
        <v>225</v>
      </c>
      <c r="I5" s="11" t="s">
        <v>227</v>
      </c>
      <c r="J5" s="11" t="s">
        <v>224</v>
      </c>
      <c r="K5" s="11" t="s">
        <v>226</v>
      </c>
      <c r="L5" s="11" t="s">
        <v>228</v>
      </c>
      <c r="M5" s="11" t="s">
        <v>229</v>
      </c>
      <c r="N5" s="11" t="s">
        <v>230</v>
      </c>
      <c r="Q5" s="56" t="s">
        <v>427</v>
      </c>
      <c r="T5" s="37" t="s">
        <v>414</v>
      </c>
      <c r="U5" s="37" t="s">
        <v>415</v>
      </c>
      <c r="V5" s="37" t="s">
        <v>414</v>
      </c>
      <c r="W5" s="37" t="s">
        <v>415</v>
      </c>
      <c r="X5" s="37" t="s">
        <v>414</v>
      </c>
      <c r="Y5" s="37" t="s">
        <v>415</v>
      </c>
      <c r="Z5" s="37" t="s">
        <v>414</v>
      </c>
      <c r="AA5" s="37" t="s">
        <v>415</v>
      </c>
      <c r="AC5" s="42" t="s">
        <v>414</v>
      </c>
      <c r="AD5" s="42" t="s">
        <v>415</v>
      </c>
    </row>
    <row r="7" spans="1:31" x14ac:dyDescent="0.25">
      <c r="A7" s="5" t="s">
        <v>35</v>
      </c>
      <c r="B7" s="6"/>
      <c r="C7" s="6"/>
      <c r="D7" s="5"/>
      <c r="E7" s="6"/>
      <c r="F7" s="7"/>
      <c r="G7" s="7"/>
      <c r="H7" s="7"/>
      <c r="I7" s="8"/>
      <c r="J7" s="8"/>
      <c r="K7" s="8"/>
      <c r="L7" s="8"/>
      <c r="M7" s="8"/>
      <c r="N7" s="8">
        <f>SUM(N8:N25)</f>
        <v>207729.37</v>
      </c>
      <c r="P7" s="35">
        <f>N7/$N$171</f>
        <v>0.60603901785146674</v>
      </c>
      <c r="Q7" s="35"/>
      <c r="T7" s="58">
        <f>U7/$N$171</f>
        <v>0</v>
      </c>
      <c r="U7" s="8">
        <f>SUM(U8:U25)</f>
        <v>0</v>
      </c>
      <c r="V7" s="58">
        <f>W7/$N$171</f>
        <v>8.8290784780167726E-3</v>
      </c>
      <c r="W7" s="8">
        <f>SUM(W8:W25)</f>
        <v>3026.3049999999998</v>
      </c>
      <c r="X7" s="58">
        <f>Y7/$N$171</f>
        <v>0.29272447266962293</v>
      </c>
      <c r="Y7" s="8">
        <f>SUM(Y8:Y25)</f>
        <v>100335.9</v>
      </c>
      <c r="Z7" s="58">
        <f>AA7/$N$171</f>
        <v>0.30448546670382709</v>
      </c>
      <c r="AA7" s="8">
        <f>SUM(AA8:AA25)</f>
        <v>104367.16499999999</v>
      </c>
      <c r="AC7" s="5"/>
      <c r="AD7" s="12">
        <f t="shared" ref="AD7" si="0">SUM(U7,W7,Y7,AA7)</f>
        <v>207729.37</v>
      </c>
      <c r="AE7" s="4" t="str">
        <f t="shared" ref="AE7" si="1">IF(AD7=N7,"OK","VERIFICAR")</f>
        <v>OK</v>
      </c>
    </row>
    <row r="8" spans="1:31" ht="60" outlineLevel="1" x14ac:dyDescent="0.25">
      <c r="A8" s="18" t="s">
        <v>6</v>
      </c>
      <c r="B8" s="18" t="s">
        <v>7</v>
      </c>
      <c r="C8" s="18" t="s">
        <v>8</v>
      </c>
      <c r="D8" s="19" t="s">
        <v>234</v>
      </c>
      <c r="E8" s="46" t="s">
        <v>9</v>
      </c>
      <c r="F8" s="24">
        <v>2</v>
      </c>
      <c r="G8" s="13">
        <f>AVERAGE(19798.26,16019.38,17537,21128.58,21018.15,18495.97)</f>
        <v>18999.556666666667</v>
      </c>
      <c r="H8" s="13">
        <v>0</v>
      </c>
      <c r="I8" s="13">
        <f>G8+H8</f>
        <v>18999.556666666667</v>
      </c>
      <c r="J8" s="13">
        <f t="shared" ref="J8" si="2">TRUNC(I8*F8,2)</f>
        <v>37999.11</v>
      </c>
      <c r="K8" s="32">
        <v>0.1515</v>
      </c>
      <c r="L8" s="13">
        <f>TRUNC($F8*G8*(1+$K8),2)</f>
        <v>43755.97</v>
      </c>
      <c r="M8" s="13">
        <f>TRUNC($F8*H8*(1+$K8),2)</f>
        <v>0</v>
      </c>
      <c r="N8" s="13">
        <f>M8+L8</f>
        <v>43755.97</v>
      </c>
      <c r="P8" s="35"/>
      <c r="X8" s="45">
        <v>0.5</v>
      </c>
      <c r="Y8" s="44">
        <f>X8*$N8</f>
        <v>21877.985000000001</v>
      </c>
      <c r="Z8" s="45">
        <v>0.5</v>
      </c>
      <c r="AA8" s="44">
        <f>Z8*$N8</f>
        <v>21877.985000000001</v>
      </c>
      <c r="AC8" s="43">
        <f t="shared" ref="AC8:AC25" si="3">SUM(T8,V8,X8,Z8)</f>
        <v>1</v>
      </c>
      <c r="AD8" s="12">
        <f t="shared" ref="AD8:AD23" si="4">SUM(U8,W8,Y8,AA8)</f>
        <v>43755.97</v>
      </c>
      <c r="AE8" s="4" t="str">
        <f t="shared" ref="AE8:AE23" si="5">IF(AD8=N8,"OK","VERIFICAR")</f>
        <v>OK</v>
      </c>
    </row>
    <row r="9" spans="1:31" ht="60" outlineLevel="1" x14ac:dyDescent="0.25">
      <c r="A9" s="18" t="s">
        <v>6</v>
      </c>
      <c r="B9" s="18" t="s">
        <v>10</v>
      </c>
      <c r="C9" s="18" t="s">
        <v>8</v>
      </c>
      <c r="D9" s="19" t="s">
        <v>442</v>
      </c>
      <c r="E9" s="46" t="s">
        <v>9</v>
      </c>
      <c r="F9" s="24">
        <v>139</v>
      </c>
      <c r="G9" s="13">
        <f>AVERAGE(789.57,820.71,677.97,729,(449.9*1.06))</f>
        <v>698.8288</v>
      </c>
      <c r="H9" s="13">
        <v>0</v>
      </c>
      <c r="I9" s="13">
        <f>G9+H9</f>
        <v>698.8288</v>
      </c>
      <c r="J9" s="13">
        <f t="shared" ref="J9:J11" si="6">TRUNC(I9*F9,2)</f>
        <v>97137.2</v>
      </c>
      <c r="K9" s="32">
        <v>0.1515</v>
      </c>
      <c r="L9" s="13">
        <f>TRUNC($F9*G9*(1+$K9),2)</f>
        <v>111853.48</v>
      </c>
      <c r="M9" s="13">
        <f>TRUNC($F9*H9*(1+$K9),2)</f>
        <v>0</v>
      </c>
      <c r="N9" s="13">
        <f>M9+L9</f>
        <v>111853.48</v>
      </c>
      <c r="P9" s="35"/>
      <c r="Q9" s="35"/>
      <c r="X9" s="45">
        <v>0.5</v>
      </c>
      <c r="Y9" s="44">
        <f t="shared" ref="Y9:Y22" si="7">X9*$N9</f>
        <v>55926.74</v>
      </c>
      <c r="Z9" s="45">
        <v>0.5</v>
      </c>
      <c r="AA9" s="44">
        <f t="shared" ref="AA9:AA22" si="8">Z9*$N9</f>
        <v>55926.74</v>
      </c>
      <c r="AC9" s="43">
        <f t="shared" si="3"/>
        <v>1</v>
      </c>
      <c r="AD9" s="12">
        <f t="shared" si="4"/>
        <v>111853.48</v>
      </c>
      <c r="AE9" s="4" t="str">
        <f t="shared" si="5"/>
        <v>OK</v>
      </c>
    </row>
    <row r="10" spans="1:31" ht="30" outlineLevel="1" x14ac:dyDescent="0.25">
      <c r="A10" s="18" t="s">
        <v>6</v>
      </c>
      <c r="B10" s="18" t="s">
        <v>11</v>
      </c>
      <c r="C10" s="18" t="s">
        <v>8</v>
      </c>
      <c r="D10" s="19" t="s">
        <v>12</v>
      </c>
      <c r="E10" s="46" t="s">
        <v>9</v>
      </c>
      <c r="F10" s="24">
        <v>9</v>
      </c>
      <c r="G10" s="13">
        <f>AVERAGE(20/2,19.02/2)</f>
        <v>9.754999999999999</v>
      </c>
      <c r="H10" s="13">
        <v>0</v>
      </c>
      <c r="I10" s="13">
        <f t="shared" ref="I10:I11" si="9">G10+H10</f>
        <v>9.754999999999999</v>
      </c>
      <c r="J10" s="13">
        <f t="shared" si="6"/>
        <v>87.79</v>
      </c>
      <c r="K10" s="20">
        <v>0.27760000000000001</v>
      </c>
      <c r="L10" s="13">
        <f t="shared" ref="L10:L11" si="10">TRUNC($F10*G10*(1+$K10),2)</f>
        <v>112.16</v>
      </c>
      <c r="M10" s="13">
        <f t="shared" ref="M10:M11" si="11">TRUNC($F10*H10*(1+$K10),2)</f>
        <v>0</v>
      </c>
      <c r="N10" s="13">
        <f t="shared" ref="N10:N11" si="12">M10+L10</f>
        <v>112.16</v>
      </c>
      <c r="Q10" s="35"/>
      <c r="X10" s="45">
        <v>0.5</v>
      </c>
      <c r="Y10" s="44">
        <f t="shared" si="7"/>
        <v>56.08</v>
      </c>
      <c r="Z10" s="45">
        <v>0.5</v>
      </c>
      <c r="AA10" s="44">
        <f t="shared" si="8"/>
        <v>56.08</v>
      </c>
      <c r="AC10" s="43">
        <f t="shared" si="3"/>
        <v>1</v>
      </c>
      <c r="AD10" s="12">
        <f t="shared" si="4"/>
        <v>112.16</v>
      </c>
      <c r="AE10" s="4" t="str">
        <f t="shared" si="5"/>
        <v>OK</v>
      </c>
    </row>
    <row r="11" spans="1:31" ht="30" outlineLevel="1" x14ac:dyDescent="0.25">
      <c r="A11" s="18" t="s">
        <v>6</v>
      </c>
      <c r="B11" s="18" t="s">
        <v>13</v>
      </c>
      <c r="C11" s="18" t="s">
        <v>8</v>
      </c>
      <c r="D11" s="19" t="s">
        <v>14</v>
      </c>
      <c r="E11" s="46" t="s">
        <v>9</v>
      </c>
      <c r="F11" s="24">
        <v>9</v>
      </c>
      <c r="G11" s="13">
        <f>AVERAGE(20/2,19.02/2)</f>
        <v>9.754999999999999</v>
      </c>
      <c r="H11" s="13">
        <v>0</v>
      </c>
      <c r="I11" s="13">
        <f t="shared" si="9"/>
        <v>9.754999999999999</v>
      </c>
      <c r="J11" s="13">
        <f t="shared" si="6"/>
        <v>87.79</v>
      </c>
      <c r="K11" s="20">
        <v>0.27760000000000001</v>
      </c>
      <c r="L11" s="13">
        <f t="shared" si="10"/>
        <v>112.16</v>
      </c>
      <c r="M11" s="13">
        <f t="shared" si="11"/>
        <v>0</v>
      </c>
      <c r="N11" s="13">
        <f t="shared" si="12"/>
        <v>112.16</v>
      </c>
      <c r="X11" s="45">
        <v>0.5</v>
      </c>
      <c r="Y11" s="44">
        <f t="shared" si="7"/>
        <v>56.08</v>
      </c>
      <c r="Z11" s="45">
        <v>0.5</v>
      </c>
      <c r="AA11" s="44">
        <f t="shared" si="8"/>
        <v>56.08</v>
      </c>
      <c r="AC11" s="43">
        <f t="shared" si="3"/>
        <v>1</v>
      </c>
      <c r="AD11" s="12">
        <f t="shared" si="4"/>
        <v>112.16</v>
      </c>
      <c r="AE11" s="4" t="str">
        <f t="shared" si="5"/>
        <v>OK</v>
      </c>
    </row>
    <row r="12" spans="1:31" ht="45" outlineLevel="1" x14ac:dyDescent="0.25">
      <c r="A12" s="18" t="s">
        <v>6</v>
      </c>
      <c r="B12" s="18" t="s">
        <v>15</v>
      </c>
      <c r="C12" s="18" t="s">
        <v>8</v>
      </c>
      <c r="D12" s="19" t="s">
        <v>16</v>
      </c>
      <c r="E12" s="46" t="s">
        <v>17</v>
      </c>
      <c r="F12" s="16">
        <v>200</v>
      </c>
      <c r="G12" s="13">
        <f>AVERAGE(590,560.5)/100</f>
        <v>5.7525000000000004</v>
      </c>
      <c r="H12" s="13">
        <v>0</v>
      </c>
      <c r="I12" s="13">
        <f t="shared" ref="I12:I13" si="13">G12+H12</f>
        <v>5.7525000000000004</v>
      </c>
      <c r="J12" s="13">
        <f t="shared" ref="J12:J13" si="14">TRUNC(I12*F12,2)</f>
        <v>1150.5</v>
      </c>
      <c r="K12" s="20">
        <v>0.27760000000000001</v>
      </c>
      <c r="L12" s="13">
        <f t="shared" ref="L12:L13" si="15">TRUNC($F12*G12*(1+$K12),2)</f>
        <v>1469.87</v>
      </c>
      <c r="M12" s="13">
        <f t="shared" ref="M12:M13" si="16">TRUNC($F12*H12*(1+$K12),2)</f>
        <v>0</v>
      </c>
      <c r="N12" s="13">
        <f t="shared" ref="N12:N13" si="17">M12+L12</f>
        <v>1469.87</v>
      </c>
      <c r="X12" s="45">
        <v>0.5</v>
      </c>
      <c r="Y12" s="44">
        <f t="shared" si="7"/>
        <v>734.93499999999995</v>
      </c>
      <c r="Z12" s="45">
        <v>0.5</v>
      </c>
      <c r="AA12" s="44">
        <f t="shared" si="8"/>
        <v>734.93499999999995</v>
      </c>
      <c r="AC12" s="43">
        <f t="shared" si="3"/>
        <v>1</v>
      </c>
      <c r="AD12" s="12">
        <f t="shared" si="4"/>
        <v>1469.87</v>
      </c>
      <c r="AE12" s="4" t="str">
        <f t="shared" si="5"/>
        <v>OK</v>
      </c>
    </row>
    <row r="13" spans="1:31" ht="45" outlineLevel="1" x14ac:dyDescent="0.25">
      <c r="A13" s="18" t="s">
        <v>6</v>
      </c>
      <c r="B13" s="18" t="s">
        <v>18</v>
      </c>
      <c r="C13" s="18" t="s">
        <v>8</v>
      </c>
      <c r="D13" s="19" t="s">
        <v>19</v>
      </c>
      <c r="E13" s="46" t="s">
        <v>17</v>
      </c>
      <c r="F13" s="16">
        <v>200</v>
      </c>
      <c r="G13" s="13">
        <f>AVERAGE(590,560.5)/100</f>
        <v>5.7525000000000004</v>
      </c>
      <c r="H13" s="13">
        <v>0</v>
      </c>
      <c r="I13" s="13">
        <f t="shared" si="13"/>
        <v>5.7525000000000004</v>
      </c>
      <c r="J13" s="13">
        <f t="shared" si="14"/>
        <v>1150.5</v>
      </c>
      <c r="K13" s="20">
        <v>0.27760000000000001</v>
      </c>
      <c r="L13" s="13">
        <f t="shared" si="15"/>
        <v>1469.87</v>
      </c>
      <c r="M13" s="13">
        <f t="shared" si="16"/>
        <v>0</v>
      </c>
      <c r="N13" s="13">
        <f t="shared" si="17"/>
        <v>1469.87</v>
      </c>
      <c r="X13" s="45">
        <v>0.5</v>
      </c>
      <c r="Y13" s="44">
        <f t="shared" si="7"/>
        <v>734.93499999999995</v>
      </c>
      <c r="Z13" s="45">
        <v>0.5</v>
      </c>
      <c r="AA13" s="44">
        <f t="shared" si="8"/>
        <v>734.93499999999995</v>
      </c>
      <c r="AC13" s="43">
        <f t="shared" si="3"/>
        <v>1</v>
      </c>
      <c r="AD13" s="12">
        <f t="shared" si="4"/>
        <v>1469.87</v>
      </c>
      <c r="AE13" s="4" t="str">
        <f t="shared" si="5"/>
        <v>OK</v>
      </c>
    </row>
    <row r="14" spans="1:31" ht="75" outlineLevel="1" x14ac:dyDescent="0.25">
      <c r="A14" s="18" t="s">
        <v>6</v>
      </c>
      <c r="B14" s="18" t="s">
        <v>179</v>
      </c>
      <c r="C14" s="18" t="s">
        <v>8</v>
      </c>
      <c r="D14" s="19" t="s">
        <v>21</v>
      </c>
      <c r="E14" s="46" t="s">
        <v>9</v>
      </c>
      <c r="F14" s="24">
        <v>75</v>
      </c>
      <c r="G14" s="13">
        <f>AVERAGE(680/2,640.68/2,721.29/2,518/2)</f>
        <v>319.99624999999997</v>
      </c>
      <c r="H14" s="13">
        <v>0</v>
      </c>
      <c r="I14" s="13">
        <f t="shared" ref="I14" si="18">G14+H14</f>
        <v>319.99624999999997</v>
      </c>
      <c r="J14" s="13">
        <f t="shared" ref="J14" si="19">TRUNC(I14*F14,2)</f>
        <v>23999.71</v>
      </c>
      <c r="K14" s="20">
        <v>0.27760000000000001</v>
      </c>
      <c r="L14" s="13">
        <f t="shared" ref="L14" si="20">TRUNC($F14*G14*(1+$K14),2)</f>
        <v>30662.04</v>
      </c>
      <c r="M14" s="13">
        <f t="shared" ref="M14" si="21">TRUNC($F14*H14*(1+$K14),2)</f>
        <v>0</v>
      </c>
      <c r="N14" s="13">
        <f t="shared" ref="N14" si="22">M14+L14</f>
        <v>30662.04</v>
      </c>
      <c r="X14" s="45">
        <v>0.5</v>
      </c>
      <c r="Y14" s="44">
        <f t="shared" si="7"/>
        <v>15331.02</v>
      </c>
      <c r="Z14" s="45">
        <v>0.5</v>
      </c>
      <c r="AA14" s="44">
        <f t="shared" si="8"/>
        <v>15331.02</v>
      </c>
      <c r="AC14" s="43">
        <f t="shared" si="3"/>
        <v>1</v>
      </c>
      <c r="AD14" s="12">
        <f t="shared" si="4"/>
        <v>30662.04</v>
      </c>
      <c r="AE14" s="4" t="str">
        <f t="shared" si="5"/>
        <v>OK</v>
      </c>
    </row>
    <row r="15" spans="1:31" ht="30" outlineLevel="1" x14ac:dyDescent="0.25">
      <c r="A15" s="18" t="s">
        <v>6</v>
      </c>
      <c r="B15" s="18" t="s">
        <v>20</v>
      </c>
      <c r="C15" s="18" t="s">
        <v>8</v>
      </c>
      <c r="D15" s="19" t="s">
        <v>23</v>
      </c>
      <c r="E15" s="46" t="s">
        <v>9</v>
      </c>
      <c r="F15" s="24">
        <v>120</v>
      </c>
      <c r="G15" s="13">
        <v>19.899999999999999</v>
      </c>
      <c r="H15" s="13">
        <v>0</v>
      </c>
      <c r="I15" s="13">
        <f t="shared" ref="I15" si="23">G15+H15</f>
        <v>19.899999999999999</v>
      </c>
      <c r="J15" s="13">
        <f t="shared" ref="J15" si="24">TRUNC(I15*F15,2)</f>
        <v>2388</v>
      </c>
      <c r="K15" s="20">
        <v>0.27760000000000001</v>
      </c>
      <c r="L15" s="13">
        <f t="shared" ref="L15" si="25">TRUNC($F15*G15*(1+$K15),2)</f>
        <v>3050.9</v>
      </c>
      <c r="M15" s="13">
        <f t="shared" ref="M15" si="26">TRUNC($F15*H15*(1+$K15),2)</f>
        <v>0</v>
      </c>
      <c r="N15" s="13">
        <f t="shared" ref="N15" si="27">M15+L15</f>
        <v>3050.9</v>
      </c>
      <c r="X15" s="45">
        <v>0.5</v>
      </c>
      <c r="Y15" s="44">
        <f t="shared" si="7"/>
        <v>1525.45</v>
      </c>
      <c r="Z15" s="45">
        <v>0.5</v>
      </c>
      <c r="AA15" s="44">
        <f t="shared" si="8"/>
        <v>1525.45</v>
      </c>
      <c r="AC15" s="43">
        <f t="shared" si="3"/>
        <v>1</v>
      </c>
      <c r="AD15" s="12">
        <f t="shared" si="4"/>
        <v>3050.9</v>
      </c>
      <c r="AE15" s="4" t="str">
        <f t="shared" si="5"/>
        <v>OK</v>
      </c>
    </row>
    <row r="16" spans="1:31" ht="30" outlineLevel="1" x14ac:dyDescent="0.25">
      <c r="A16" s="18" t="s">
        <v>24</v>
      </c>
      <c r="B16" s="18" t="s">
        <v>25</v>
      </c>
      <c r="C16" s="18" t="s">
        <v>241</v>
      </c>
      <c r="D16" s="19" t="s">
        <v>26</v>
      </c>
      <c r="E16" s="46" t="s">
        <v>17</v>
      </c>
      <c r="F16" s="16">
        <v>50</v>
      </c>
      <c r="G16" s="13">
        <v>4.3499999999999996</v>
      </c>
      <c r="H16" s="13">
        <v>1.1000000000000001</v>
      </c>
      <c r="I16" s="13">
        <f t="shared" ref="I16:I21" si="28">G16+H16</f>
        <v>5.4499999999999993</v>
      </c>
      <c r="J16" s="13">
        <f t="shared" ref="J16:J17" si="29">TRUNC(I16*F16,2)</f>
        <v>272.5</v>
      </c>
      <c r="K16" s="20">
        <v>0.27760000000000001</v>
      </c>
      <c r="L16" s="13">
        <f t="shared" ref="L16:M21" si="30">TRUNC($F16*G16*(1+$K16),2)</f>
        <v>277.87</v>
      </c>
      <c r="M16" s="13">
        <f t="shared" si="30"/>
        <v>70.260000000000005</v>
      </c>
      <c r="N16" s="13">
        <f t="shared" ref="N16:N21" si="31">M16+L16</f>
        <v>348.13</v>
      </c>
      <c r="X16" s="45">
        <v>0.5</v>
      </c>
      <c r="Y16" s="44">
        <f t="shared" si="7"/>
        <v>174.065</v>
      </c>
      <c r="Z16" s="45">
        <v>0.5</v>
      </c>
      <c r="AA16" s="44">
        <f t="shared" si="8"/>
        <v>174.065</v>
      </c>
      <c r="AC16" s="43">
        <f t="shared" si="3"/>
        <v>1</v>
      </c>
      <c r="AD16" s="12">
        <f t="shared" si="4"/>
        <v>348.13</v>
      </c>
      <c r="AE16" s="4" t="str">
        <f t="shared" si="5"/>
        <v>OK</v>
      </c>
    </row>
    <row r="17" spans="1:31" ht="30" outlineLevel="1" x14ac:dyDescent="0.25">
      <c r="A17" s="18" t="s">
        <v>24</v>
      </c>
      <c r="B17" s="18" t="s">
        <v>22</v>
      </c>
      <c r="C17" s="18" t="s">
        <v>242</v>
      </c>
      <c r="D17" s="19" t="s">
        <v>27</v>
      </c>
      <c r="E17" s="46" t="s">
        <v>28</v>
      </c>
      <c r="F17" s="16">
        <v>300</v>
      </c>
      <c r="G17" s="13">
        <v>0.96</v>
      </c>
      <c r="H17" s="13">
        <v>0</v>
      </c>
      <c r="I17" s="13">
        <f t="shared" si="28"/>
        <v>0.96</v>
      </c>
      <c r="J17" s="13">
        <f t="shared" si="29"/>
        <v>288</v>
      </c>
      <c r="K17" s="20">
        <v>0.27760000000000001</v>
      </c>
      <c r="L17" s="13">
        <f t="shared" si="30"/>
        <v>367.94</v>
      </c>
      <c r="M17" s="13">
        <f t="shared" si="30"/>
        <v>0</v>
      </c>
      <c r="N17" s="13">
        <f t="shared" si="31"/>
        <v>367.94</v>
      </c>
      <c r="X17" s="45">
        <v>0.5</v>
      </c>
      <c r="Y17" s="44">
        <f t="shared" si="7"/>
        <v>183.97</v>
      </c>
      <c r="Z17" s="45">
        <v>0.5</v>
      </c>
      <c r="AA17" s="44">
        <f t="shared" si="8"/>
        <v>183.97</v>
      </c>
      <c r="AC17" s="43">
        <f t="shared" si="3"/>
        <v>1</v>
      </c>
      <c r="AD17" s="12">
        <f t="shared" si="4"/>
        <v>367.94</v>
      </c>
      <c r="AE17" s="4" t="str">
        <f t="shared" si="5"/>
        <v>OK</v>
      </c>
    </row>
    <row r="18" spans="1:31" outlineLevel="1" x14ac:dyDescent="0.25">
      <c r="A18" s="21" t="s">
        <v>6</v>
      </c>
      <c r="B18" s="18" t="s">
        <v>29</v>
      </c>
      <c r="C18" s="21" t="s">
        <v>8</v>
      </c>
      <c r="D18" s="30" t="s">
        <v>328</v>
      </c>
      <c r="E18" s="48" t="s">
        <v>9</v>
      </c>
      <c r="F18" s="31">
        <v>2</v>
      </c>
      <c r="G18" s="13">
        <f>AVERAGE(84.9,79.9,78,90)</f>
        <v>83.2</v>
      </c>
      <c r="H18" s="13">
        <v>0</v>
      </c>
      <c r="I18" s="13">
        <f t="shared" si="28"/>
        <v>83.2</v>
      </c>
      <c r="J18" s="13">
        <f t="shared" ref="J18" si="32">TRUNC(I18*F18,2)</f>
        <v>166.4</v>
      </c>
      <c r="K18" s="20">
        <v>0.27760000000000001</v>
      </c>
      <c r="L18" s="13">
        <f t="shared" si="30"/>
        <v>212.59</v>
      </c>
      <c r="M18" s="13">
        <f t="shared" si="30"/>
        <v>0</v>
      </c>
      <c r="N18" s="13">
        <f t="shared" si="31"/>
        <v>212.59</v>
      </c>
      <c r="X18" s="45">
        <v>0.5</v>
      </c>
      <c r="Y18" s="44">
        <f t="shared" si="7"/>
        <v>106.295</v>
      </c>
      <c r="Z18" s="45">
        <v>0.5</v>
      </c>
      <c r="AA18" s="44">
        <f t="shared" si="8"/>
        <v>106.295</v>
      </c>
      <c r="AC18" s="43">
        <f t="shared" si="3"/>
        <v>1</v>
      </c>
      <c r="AD18" s="12">
        <f t="shared" si="4"/>
        <v>212.59</v>
      </c>
      <c r="AE18" s="4" t="str">
        <f t="shared" si="5"/>
        <v>OK</v>
      </c>
    </row>
    <row r="19" spans="1:31" outlineLevel="1" x14ac:dyDescent="0.25">
      <c r="A19" s="18" t="s">
        <v>24</v>
      </c>
      <c r="B19" s="18" t="s">
        <v>30</v>
      </c>
      <c r="C19" s="18" t="s">
        <v>243</v>
      </c>
      <c r="D19" s="19" t="s">
        <v>31</v>
      </c>
      <c r="E19" s="46" t="s">
        <v>9</v>
      </c>
      <c r="F19" s="16">
        <v>6</v>
      </c>
      <c r="G19" s="13">
        <v>12.25</v>
      </c>
      <c r="H19" s="13">
        <v>0</v>
      </c>
      <c r="I19" s="13">
        <f t="shared" si="28"/>
        <v>12.25</v>
      </c>
      <c r="J19" s="13">
        <f t="shared" ref="J19:J20" si="33">TRUNC(I19*F19,2)</f>
        <v>73.5</v>
      </c>
      <c r="K19" s="20">
        <v>0.27760000000000001</v>
      </c>
      <c r="L19" s="13">
        <f t="shared" si="30"/>
        <v>93.9</v>
      </c>
      <c r="M19" s="13">
        <f t="shared" si="30"/>
        <v>0</v>
      </c>
      <c r="N19" s="13">
        <f t="shared" si="31"/>
        <v>93.9</v>
      </c>
      <c r="X19" s="45">
        <v>0.5</v>
      </c>
      <c r="Y19" s="44">
        <f t="shared" si="7"/>
        <v>46.95</v>
      </c>
      <c r="Z19" s="45">
        <v>0.5</v>
      </c>
      <c r="AA19" s="44">
        <f t="shared" si="8"/>
        <v>46.95</v>
      </c>
      <c r="AC19" s="43">
        <f t="shared" si="3"/>
        <v>1</v>
      </c>
      <c r="AD19" s="12">
        <f t="shared" si="4"/>
        <v>93.9</v>
      </c>
      <c r="AE19" s="4" t="str">
        <f t="shared" si="5"/>
        <v>OK</v>
      </c>
    </row>
    <row r="20" spans="1:31" ht="30" outlineLevel="1" x14ac:dyDescent="0.25">
      <c r="A20" s="18" t="s">
        <v>24</v>
      </c>
      <c r="B20" s="18" t="s">
        <v>32</v>
      </c>
      <c r="C20" s="18" t="s">
        <v>244</v>
      </c>
      <c r="D20" s="19" t="s">
        <v>33</v>
      </c>
      <c r="E20" s="46" t="s">
        <v>34</v>
      </c>
      <c r="F20" s="16">
        <v>2</v>
      </c>
      <c r="G20" s="13">
        <v>29.43</v>
      </c>
      <c r="H20" s="13">
        <v>0</v>
      </c>
      <c r="I20" s="13">
        <f t="shared" si="28"/>
        <v>29.43</v>
      </c>
      <c r="J20" s="13">
        <f t="shared" si="33"/>
        <v>58.86</v>
      </c>
      <c r="K20" s="20">
        <v>0.27760000000000001</v>
      </c>
      <c r="L20" s="13">
        <f t="shared" si="30"/>
        <v>75.19</v>
      </c>
      <c r="M20" s="13">
        <f t="shared" si="30"/>
        <v>0</v>
      </c>
      <c r="N20" s="13">
        <f t="shared" si="31"/>
        <v>75.19</v>
      </c>
      <c r="X20" s="45">
        <v>0.5</v>
      </c>
      <c r="Y20" s="44">
        <f t="shared" si="7"/>
        <v>37.594999999999999</v>
      </c>
      <c r="Z20" s="45">
        <v>0.5</v>
      </c>
      <c r="AA20" s="44">
        <f t="shared" si="8"/>
        <v>37.594999999999999</v>
      </c>
      <c r="AC20" s="43">
        <f t="shared" si="3"/>
        <v>1</v>
      </c>
      <c r="AD20" s="12">
        <f t="shared" si="4"/>
        <v>75.19</v>
      </c>
      <c r="AE20" s="4" t="str">
        <f t="shared" si="5"/>
        <v>OK</v>
      </c>
    </row>
    <row r="21" spans="1:31" outlineLevel="1" x14ac:dyDescent="0.25">
      <c r="A21" s="18" t="s">
        <v>24</v>
      </c>
      <c r="B21" s="18" t="s">
        <v>232</v>
      </c>
      <c r="C21" s="18" t="s">
        <v>258</v>
      </c>
      <c r="D21" s="19" t="s">
        <v>329</v>
      </c>
      <c r="E21" s="18" t="s">
        <v>69</v>
      </c>
      <c r="F21" s="16">
        <v>110</v>
      </c>
      <c r="G21" s="13">
        <v>4.5599999999999996</v>
      </c>
      <c r="H21" s="13">
        <v>20.29</v>
      </c>
      <c r="I21" s="13">
        <f t="shared" si="28"/>
        <v>24.849999999999998</v>
      </c>
      <c r="J21" s="13">
        <f t="shared" ref="J21" si="34">TRUNC(I21*F21,2)</f>
        <v>2733.5</v>
      </c>
      <c r="K21" s="20">
        <v>0.27760000000000001</v>
      </c>
      <c r="L21" s="13">
        <f t="shared" si="30"/>
        <v>640.84</v>
      </c>
      <c r="M21" s="13">
        <f t="shared" si="30"/>
        <v>2851.47</v>
      </c>
      <c r="N21" s="13">
        <f t="shared" si="31"/>
        <v>3492.31</v>
      </c>
      <c r="X21" s="45">
        <v>0.25</v>
      </c>
      <c r="Y21" s="44">
        <f t="shared" si="7"/>
        <v>873.07749999999999</v>
      </c>
      <c r="Z21" s="45">
        <v>0.75</v>
      </c>
      <c r="AA21" s="44">
        <f t="shared" si="8"/>
        <v>2619.2325000000001</v>
      </c>
      <c r="AC21" s="43">
        <f t="shared" si="3"/>
        <v>1</v>
      </c>
      <c r="AD21" s="12">
        <f t="shared" si="4"/>
        <v>3492.31</v>
      </c>
      <c r="AE21" s="4" t="str">
        <f t="shared" si="5"/>
        <v>OK</v>
      </c>
    </row>
    <row r="22" spans="1:31" outlineLevel="1" x14ac:dyDescent="0.25">
      <c r="A22" s="18" t="s">
        <v>24</v>
      </c>
      <c r="B22" s="18" t="s">
        <v>233</v>
      </c>
      <c r="C22" s="18" t="s">
        <v>260</v>
      </c>
      <c r="D22" s="19" t="s">
        <v>330</v>
      </c>
      <c r="E22" s="18" t="s">
        <v>69</v>
      </c>
      <c r="F22" s="16">
        <v>220</v>
      </c>
      <c r="G22" s="13">
        <v>4.43</v>
      </c>
      <c r="H22" s="13">
        <v>11.83</v>
      </c>
      <c r="I22" s="13">
        <f t="shared" ref="I22:I24" si="35">G22+H22</f>
        <v>16.259999999999998</v>
      </c>
      <c r="J22" s="13">
        <f t="shared" ref="J22:J24" si="36">TRUNC(I22*F22,2)</f>
        <v>3577.2</v>
      </c>
      <c r="K22" s="20">
        <v>0.27760000000000001</v>
      </c>
      <c r="L22" s="13">
        <f t="shared" ref="L22:L24" si="37">TRUNC($F22*G22*(1+$K22),2)</f>
        <v>1245.1400000000001</v>
      </c>
      <c r="M22" s="13">
        <f t="shared" ref="M22:M24" si="38">TRUNC($F22*H22*(1+$K22),2)</f>
        <v>3325.08</v>
      </c>
      <c r="N22" s="13">
        <f t="shared" ref="N22:N24" si="39">M22+L22</f>
        <v>4570.22</v>
      </c>
      <c r="X22" s="45">
        <v>0.25</v>
      </c>
      <c r="Y22" s="44">
        <f t="shared" si="7"/>
        <v>1142.5550000000001</v>
      </c>
      <c r="Z22" s="45">
        <v>0.75</v>
      </c>
      <c r="AA22" s="44">
        <f t="shared" si="8"/>
        <v>3427.665</v>
      </c>
      <c r="AC22" s="43">
        <f t="shared" si="3"/>
        <v>1</v>
      </c>
      <c r="AD22" s="12">
        <f t="shared" si="4"/>
        <v>4570.22</v>
      </c>
      <c r="AE22" s="4" t="str">
        <f t="shared" si="5"/>
        <v>OK</v>
      </c>
    </row>
    <row r="23" spans="1:31" ht="45" outlineLevel="1" x14ac:dyDescent="0.25">
      <c r="A23" s="18" t="s">
        <v>24</v>
      </c>
      <c r="B23" s="18" t="s">
        <v>236</v>
      </c>
      <c r="C23" s="18" t="s">
        <v>259</v>
      </c>
      <c r="D23" s="19" t="s">
        <v>422</v>
      </c>
      <c r="E23" s="18" t="s">
        <v>69</v>
      </c>
      <c r="F23" s="16">
        <v>55</v>
      </c>
      <c r="G23" s="13">
        <v>0.95</v>
      </c>
      <c r="H23" s="13">
        <v>76.95</v>
      </c>
      <c r="I23" s="13">
        <f t="shared" si="35"/>
        <v>77.900000000000006</v>
      </c>
      <c r="J23" s="13">
        <f t="shared" si="36"/>
        <v>4284.5</v>
      </c>
      <c r="K23" s="20">
        <v>0.27760000000000001</v>
      </c>
      <c r="L23" s="13">
        <f t="shared" si="37"/>
        <v>66.75</v>
      </c>
      <c r="M23" s="13">
        <f t="shared" si="38"/>
        <v>5407.12</v>
      </c>
      <c r="N23" s="13">
        <f t="shared" si="39"/>
        <v>5473.87</v>
      </c>
      <c r="V23" s="45">
        <v>0.5</v>
      </c>
      <c r="W23" s="44">
        <f>V23*$N23</f>
        <v>2736.9349999999999</v>
      </c>
      <c r="X23" s="45">
        <v>0.25</v>
      </c>
      <c r="Y23" s="44">
        <f>X23*$N23</f>
        <v>1368.4675</v>
      </c>
      <c r="Z23" s="45">
        <v>0.25</v>
      </c>
      <c r="AA23" s="44">
        <f>Z23*$N23</f>
        <v>1368.4675</v>
      </c>
      <c r="AC23" s="43">
        <f t="shared" si="3"/>
        <v>1</v>
      </c>
      <c r="AD23" s="12">
        <f t="shared" si="4"/>
        <v>5473.87</v>
      </c>
      <c r="AE23" s="4" t="str">
        <f t="shared" si="5"/>
        <v>OK</v>
      </c>
    </row>
    <row r="24" spans="1:31" outlineLevel="1" x14ac:dyDescent="0.25">
      <c r="A24" s="21" t="s">
        <v>6</v>
      </c>
      <c r="B24" s="18" t="s">
        <v>237</v>
      </c>
      <c r="C24" s="22" t="s">
        <v>8</v>
      </c>
      <c r="D24" s="19" t="s">
        <v>238</v>
      </c>
      <c r="E24" s="48" t="s">
        <v>9</v>
      </c>
      <c r="F24" s="16">
        <v>1</v>
      </c>
      <c r="G24" s="13">
        <v>226.5</v>
      </c>
      <c r="H24" s="13">
        <v>0</v>
      </c>
      <c r="I24" s="13">
        <f t="shared" si="35"/>
        <v>226.5</v>
      </c>
      <c r="J24" s="13">
        <f t="shared" si="36"/>
        <v>226.5</v>
      </c>
      <c r="K24" s="20">
        <v>0.27760000000000001</v>
      </c>
      <c r="L24" s="13">
        <f t="shared" si="37"/>
        <v>289.37</v>
      </c>
      <c r="M24" s="13">
        <f t="shared" si="38"/>
        <v>0</v>
      </c>
      <c r="N24" s="13">
        <f t="shared" si="39"/>
        <v>289.37</v>
      </c>
      <c r="V24" s="45">
        <v>1</v>
      </c>
      <c r="W24" s="44">
        <f>V24*$N24</f>
        <v>289.37</v>
      </c>
      <c r="AC24" s="43">
        <f t="shared" si="3"/>
        <v>1</v>
      </c>
      <c r="AD24" s="12">
        <f>SUM(U24,W24,Y24,AA24)</f>
        <v>289.37</v>
      </c>
      <c r="AE24" s="4" t="str">
        <f>IF(AD24=N24,"OK","VERIFICAR")</f>
        <v>OK</v>
      </c>
    </row>
    <row r="25" spans="1:31" ht="30" outlineLevel="1" x14ac:dyDescent="0.25">
      <c r="A25" s="18" t="s">
        <v>24</v>
      </c>
      <c r="B25" s="18" t="s">
        <v>331</v>
      </c>
      <c r="C25" s="22" t="s">
        <v>332</v>
      </c>
      <c r="D25" s="19" t="s">
        <v>334</v>
      </c>
      <c r="E25" s="48" t="s">
        <v>333</v>
      </c>
      <c r="F25" s="16">
        <f>5*2*2</f>
        <v>20</v>
      </c>
      <c r="G25" s="13">
        <v>12.5</v>
      </c>
      <c r="H25" s="13">
        <v>0</v>
      </c>
      <c r="I25" s="13">
        <f t="shared" ref="I25" si="40">G25+H25</f>
        <v>12.5</v>
      </c>
      <c r="J25" s="13">
        <f t="shared" ref="J25" si="41">TRUNC(I25*F25,2)</f>
        <v>250</v>
      </c>
      <c r="K25" s="20">
        <v>0.27760000000000001</v>
      </c>
      <c r="L25" s="13">
        <f t="shared" ref="L25" si="42">TRUNC($F25*G25*(1+$K25),2)</f>
        <v>319.39999999999998</v>
      </c>
      <c r="M25" s="13">
        <f t="shared" ref="M25" si="43">TRUNC($F25*H25*(1+$K25),2)</f>
        <v>0</v>
      </c>
      <c r="N25" s="13">
        <f t="shared" ref="N25" si="44">M25+L25</f>
        <v>319.39999999999998</v>
      </c>
      <c r="X25" s="45">
        <v>0.5</v>
      </c>
      <c r="Y25" s="44">
        <f>X25*$N25</f>
        <v>159.69999999999999</v>
      </c>
      <c r="Z25" s="45">
        <v>0.5</v>
      </c>
      <c r="AA25" s="44">
        <f>Z25*$N25</f>
        <v>159.69999999999999</v>
      </c>
      <c r="AC25" s="43">
        <f t="shared" si="3"/>
        <v>1</v>
      </c>
      <c r="AD25" s="12">
        <f>SUM(U25,W25,Y25,AA25)</f>
        <v>319.39999999999998</v>
      </c>
      <c r="AE25" s="4" t="str">
        <f>IF(AD25=N25,"OK","VERIFICAR")</f>
        <v>OK</v>
      </c>
    </row>
    <row r="26" spans="1:31" x14ac:dyDescent="0.25">
      <c r="D26" s="28"/>
    </row>
    <row r="27" spans="1:31" x14ac:dyDescent="0.25">
      <c r="A27" s="5" t="s">
        <v>36</v>
      </c>
      <c r="B27" s="6"/>
      <c r="C27" s="6"/>
      <c r="D27" s="29"/>
      <c r="E27" s="6"/>
      <c r="F27" s="7"/>
      <c r="G27" s="7"/>
      <c r="H27" s="7"/>
      <c r="I27" s="8"/>
      <c r="J27" s="8"/>
      <c r="K27" s="8"/>
      <c r="L27" s="8"/>
      <c r="M27" s="8"/>
      <c r="N27" s="8">
        <f>SUM(N28:N35)</f>
        <v>10786.08</v>
      </c>
      <c r="P27" s="35">
        <f>N27/$N$171</f>
        <v>3.1467795476717367E-2</v>
      </c>
      <c r="Q27" s="35"/>
      <c r="T27" s="58">
        <f>U27/$N$171</f>
        <v>0</v>
      </c>
      <c r="U27" s="8">
        <f>SUM(U28:U35)</f>
        <v>0</v>
      </c>
      <c r="V27" s="58">
        <f>W27/$N$171</f>
        <v>0</v>
      </c>
      <c r="W27" s="8">
        <f>SUM(W28:W35)</f>
        <v>0</v>
      </c>
      <c r="X27" s="58">
        <f>Y27/$N$171</f>
        <v>7.8669488691793417E-3</v>
      </c>
      <c r="Y27" s="8">
        <f>SUM(Y28:Y35)</f>
        <v>2696.52</v>
      </c>
      <c r="Z27" s="58">
        <f>AA27/$N$171</f>
        <v>2.3600846607538029E-2</v>
      </c>
      <c r="AA27" s="8">
        <f>SUM(AA28:AA35)</f>
        <v>8089.56</v>
      </c>
      <c r="AC27" s="5"/>
      <c r="AD27" s="12">
        <f t="shared" ref="AD27" si="45">SUM(U27,W27,Y27,AA27)</f>
        <v>10786.08</v>
      </c>
      <c r="AE27" s="4" t="str">
        <f t="shared" ref="AE27" si="46">IF(AD27=N27,"OK","VERIFICAR")</f>
        <v>OK</v>
      </c>
    </row>
    <row r="28" spans="1:31" outlineLevel="1" x14ac:dyDescent="0.25">
      <c r="A28" s="18" t="s">
        <v>24</v>
      </c>
      <c r="B28" s="18" t="s">
        <v>37</v>
      </c>
      <c r="C28" s="18" t="s">
        <v>245</v>
      </c>
      <c r="D28" s="23" t="s">
        <v>38</v>
      </c>
      <c r="E28" s="46" t="s">
        <v>421</v>
      </c>
      <c r="F28" s="24">
        <v>7</v>
      </c>
      <c r="G28" s="13">
        <v>6.4</v>
      </c>
      <c r="H28" s="13">
        <v>0</v>
      </c>
      <c r="I28" s="13">
        <f t="shared" ref="I28:I35" si="47">G28+H28</f>
        <v>6.4</v>
      </c>
      <c r="J28" s="13">
        <f t="shared" ref="J28:J35" si="48">TRUNC(I28*F28,2)</f>
        <v>44.8</v>
      </c>
      <c r="K28" s="20">
        <v>0.27760000000000001</v>
      </c>
      <c r="L28" s="13">
        <f t="shared" ref="L28:L35" si="49">TRUNC($F28*G28*(1+$K28),2)</f>
        <v>57.23</v>
      </c>
      <c r="M28" s="13">
        <f t="shared" ref="M28:M35" si="50">TRUNC($F28*H28*(1+$K28),2)</f>
        <v>0</v>
      </c>
      <c r="N28" s="13">
        <f t="shared" ref="N28:N35" si="51">M28+L28</f>
        <v>57.23</v>
      </c>
      <c r="X28" s="45">
        <v>0.25</v>
      </c>
      <c r="Y28" s="44">
        <f t="shared" ref="Y28:Y35" si="52">X28*$N28</f>
        <v>14.307499999999999</v>
      </c>
      <c r="Z28" s="45">
        <v>0.75</v>
      </c>
      <c r="AA28" s="44">
        <f t="shared" ref="AA28:AA35" si="53">Z28*$N28</f>
        <v>42.922499999999999</v>
      </c>
      <c r="AC28" s="43">
        <f t="shared" ref="AC28:AC35" si="54">SUM(T28,V28,X28,Z28)</f>
        <v>1</v>
      </c>
      <c r="AD28" s="12">
        <f t="shared" ref="AD28:AD35" si="55">SUM(U28,W28,Y28,AA28)</f>
        <v>57.23</v>
      </c>
      <c r="AE28" s="4" t="str">
        <f t="shared" ref="AE28:AE35" si="56">IF(AD28=N28,"OK","VERIFICAR")</f>
        <v>OK</v>
      </c>
    </row>
    <row r="29" spans="1:31" outlineLevel="1" x14ac:dyDescent="0.25">
      <c r="A29" s="18" t="s">
        <v>24</v>
      </c>
      <c r="B29" s="18" t="s">
        <v>39</v>
      </c>
      <c r="C29" s="18" t="s">
        <v>246</v>
      </c>
      <c r="D29" s="23" t="s">
        <v>40</v>
      </c>
      <c r="E29" s="46" t="s">
        <v>17</v>
      </c>
      <c r="F29" s="24">
        <v>7</v>
      </c>
      <c r="G29" s="13">
        <v>0.87</v>
      </c>
      <c r="H29" s="13">
        <v>0</v>
      </c>
      <c r="I29" s="13">
        <f t="shared" si="47"/>
        <v>0.87</v>
      </c>
      <c r="J29" s="13">
        <f t="shared" si="48"/>
        <v>6.09</v>
      </c>
      <c r="K29" s="20">
        <v>0.27760000000000001</v>
      </c>
      <c r="L29" s="13">
        <f t="shared" si="49"/>
        <v>7.78</v>
      </c>
      <c r="M29" s="13">
        <f t="shared" si="50"/>
        <v>0</v>
      </c>
      <c r="N29" s="13">
        <f t="shared" si="51"/>
        <v>7.78</v>
      </c>
      <c r="X29" s="45">
        <v>0.25</v>
      </c>
      <c r="Y29" s="44">
        <f t="shared" si="52"/>
        <v>1.9450000000000001</v>
      </c>
      <c r="Z29" s="45">
        <v>0.75</v>
      </c>
      <c r="AA29" s="44">
        <f t="shared" si="53"/>
        <v>5.835</v>
      </c>
      <c r="AC29" s="43">
        <f t="shared" si="54"/>
        <v>1</v>
      </c>
      <c r="AD29" s="12">
        <f t="shared" si="55"/>
        <v>7.78</v>
      </c>
      <c r="AE29" s="4" t="str">
        <f t="shared" si="56"/>
        <v>OK</v>
      </c>
    </row>
    <row r="30" spans="1:31" ht="30" outlineLevel="1" x14ac:dyDescent="0.25">
      <c r="A30" s="18" t="s">
        <v>24</v>
      </c>
      <c r="B30" s="18" t="s">
        <v>41</v>
      </c>
      <c r="C30" s="18" t="s">
        <v>247</v>
      </c>
      <c r="D30" s="25" t="s">
        <v>42</v>
      </c>
      <c r="E30" s="46" t="s">
        <v>17</v>
      </c>
      <c r="F30" s="24">
        <v>550</v>
      </c>
      <c r="G30" s="13">
        <v>6.91</v>
      </c>
      <c r="H30" s="13">
        <v>1.62</v>
      </c>
      <c r="I30" s="13">
        <f t="shared" si="47"/>
        <v>8.5300000000000011</v>
      </c>
      <c r="J30" s="13">
        <f t="shared" si="48"/>
        <v>4691.5</v>
      </c>
      <c r="K30" s="20">
        <v>0.27760000000000001</v>
      </c>
      <c r="L30" s="13">
        <f t="shared" si="49"/>
        <v>4855.51</v>
      </c>
      <c r="M30" s="13">
        <f t="shared" si="50"/>
        <v>1138.3399999999999</v>
      </c>
      <c r="N30" s="13">
        <f t="shared" si="51"/>
        <v>5993.85</v>
      </c>
      <c r="X30" s="45">
        <v>0.25</v>
      </c>
      <c r="Y30" s="44">
        <f t="shared" si="52"/>
        <v>1498.4625000000001</v>
      </c>
      <c r="Z30" s="45">
        <v>0.75</v>
      </c>
      <c r="AA30" s="44">
        <f t="shared" si="53"/>
        <v>4495.3875000000007</v>
      </c>
      <c r="AC30" s="43">
        <f t="shared" si="54"/>
        <v>1</v>
      </c>
      <c r="AD30" s="12">
        <f t="shared" si="55"/>
        <v>5993.85</v>
      </c>
      <c r="AE30" s="4" t="str">
        <f t="shared" si="56"/>
        <v>OK</v>
      </c>
    </row>
    <row r="31" spans="1:31" ht="30" outlineLevel="1" x14ac:dyDescent="0.25">
      <c r="A31" s="18" t="s">
        <v>24</v>
      </c>
      <c r="B31" s="18" t="s">
        <v>43</v>
      </c>
      <c r="C31" s="18" t="s">
        <v>249</v>
      </c>
      <c r="D31" s="25" t="s">
        <v>44</v>
      </c>
      <c r="E31" s="46" t="s">
        <v>9</v>
      </c>
      <c r="F31" s="24">
        <v>5</v>
      </c>
      <c r="G31" s="13">
        <f>0.25+94.62+0.23</f>
        <v>95.100000000000009</v>
      </c>
      <c r="H31" s="13">
        <v>84.63</v>
      </c>
      <c r="I31" s="13">
        <f t="shared" si="47"/>
        <v>179.73000000000002</v>
      </c>
      <c r="J31" s="13">
        <f t="shared" si="48"/>
        <v>898.65</v>
      </c>
      <c r="K31" s="20">
        <v>0.27760000000000001</v>
      </c>
      <c r="L31" s="13">
        <f t="shared" si="49"/>
        <v>607.49</v>
      </c>
      <c r="M31" s="13">
        <f t="shared" si="50"/>
        <v>540.61</v>
      </c>
      <c r="N31" s="13">
        <f t="shared" si="51"/>
        <v>1148.0999999999999</v>
      </c>
      <c r="X31" s="45">
        <v>0.25</v>
      </c>
      <c r="Y31" s="44">
        <f t="shared" si="52"/>
        <v>287.02499999999998</v>
      </c>
      <c r="Z31" s="45">
        <v>0.75</v>
      </c>
      <c r="AA31" s="44">
        <f t="shared" si="53"/>
        <v>861.07499999999993</v>
      </c>
      <c r="AC31" s="43">
        <f t="shared" si="54"/>
        <v>1</v>
      </c>
      <c r="AD31" s="12">
        <f t="shared" si="55"/>
        <v>1148.0999999999999</v>
      </c>
      <c r="AE31" s="4" t="str">
        <f t="shared" si="56"/>
        <v>OK</v>
      </c>
    </row>
    <row r="32" spans="1:31" ht="30" outlineLevel="1" x14ac:dyDescent="0.25">
      <c r="A32" s="18" t="s">
        <v>24</v>
      </c>
      <c r="B32" s="18" t="s">
        <v>45</v>
      </c>
      <c r="C32" s="18" t="s">
        <v>250</v>
      </c>
      <c r="D32" s="25" t="s">
        <v>46</v>
      </c>
      <c r="E32" s="46" t="s">
        <v>17</v>
      </c>
      <c r="F32" s="24">
        <v>66</v>
      </c>
      <c r="G32" s="13">
        <v>3.37</v>
      </c>
      <c r="H32" s="13">
        <v>2.44</v>
      </c>
      <c r="I32" s="13">
        <f t="shared" si="47"/>
        <v>5.8100000000000005</v>
      </c>
      <c r="J32" s="13">
        <f t="shared" si="48"/>
        <v>383.46</v>
      </c>
      <c r="K32" s="20">
        <v>0.27760000000000001</v>
      </c>
      <c r="L32" s="13">
        <f t="shared" si="49"/>
        <v>284.16000000000003</v>
      </c>
      <c r="M32" s="13">
        <f t="shared" si="50"/>
        <v>205.74</v>
      </c>
      <c r="N32" s="13">
        <f t="shared" si="51"/>
        <v>489.90000000000003</v>
      </c>
      <c r="X32" s="45">
        <v>0.25</v>
      </c>
      <c r="Y32" s="44">
        <f t="shared" si="52"/>
        <v>122.47500000000001</v>
      </c>
      <c r="Z32" s="45">
        <v>0.75</v>
      </c>
      <c r="AA32" s="44">
        <f t="shared" si="53"/>
        <v>367.42500000000001</v>
      </c>
      <c r="AC32" s="43">
        <f t="shared" si="54"/>
        <v>1</v>
      </c>
      <c r="AD32" s="12">
        <f t="shared" si="55"/>
        <v>489.90000000000003</v>
      </c>
      <c r="AE32" s="4" t="str">
        <f t="shared" si="56"/>
        <v>OK</v>
      </c>
    </row>
    <row r="33" spans="1:31" ht="30" outlineLevel="1" x14ac:dyDescent="0.25">
      <c r="A33" s="18" t="s">
        <v>24</v>
      </c>
      <c r="B33" s="18" t="s">
        <v>47</v>
      </c>
      <c r="C33" s="26" t="s">
        <v>251</v>
      </c>
      <c r="D33" s="25" t="s">
        <v>48</v>
      </c>
      <c r="E33" s="46" t="s">
        <v>17</v>
      </c>
      <c r="F33" s="24">
        <v>100</v>
      </c>
      <c r="G33" s="13">
        <v>9.91</v>
      </c>
      <c r="H33" s="13">
        <v>10.64</v>
      </c>
      <c r="I33" s="13">
        <f t="shared" si="47"/>
        <v>20.55</v>
      </c>
      <c r="J33" s="13">
        <f t="shared" si="48"/>
        <v>2055</v>
      </c>
      <c r="K33" s="20">
        <v>0.27760000000000001</v>
      </c>
      <c r="L33" s="13">
        <f t="shared" si="49"/>
        <v>1266.0999999999999</v>
      </c>
      <c r="M33" s="13">
        <f t="shared" si="50"/>
        <v>1359.36</v>
      </c>
      <c r="N33" s="13">
        <f t="shared" si="51"/>
        <v>2625.46</v>
      </c>
      <c r="X33" s="45">
        <v>0.25</v>
      </c>
      <c r="Y33" s="44">
        <f t="shared" si="52"/>
        <v>656.36500000000001</v>
      </c>
      <c r="Z33" s="45">
        <v>0.75</v>
      </c>
      <c r="AA33" s="44">
        <f t="shared" si="53"/>
        <v>1969.095</v>
      </c>
      <c r="AC33" s="43">
        <f t="shared" si="54"/>
        <v>1</v>
      </c>
      <c r="AD33" s="12">
        <f t="shared" si="55"/>
        <v>2625.46</v>
      </c>
      <c r="AE33" s="4" t="str">
        <f t="shared" si="56"/>
        <v>OK</v>
      </c>
    </row>
    <row r="34" spans="1:31" ht="30" outlineLevel="1" x14ac:dyDescent="0.25">
      <c r="A34" s="18" t="s">
        <v>24</v>
      </c>
      <c r="B34" s="18" t="s">
        <v>49</v>
      </c>
      <c r="C34" s="18" t="s">
        <v>252</v>
      </c>
      <c r="D34" s="25" t="s">
        <v>50</v>
      </c>
      <c r="E34" s="46" t="s">
        <v>9</v>
      </c>
      <c r="F34" s="24">
        <v>330</v>
      </c>
      <c r="G34" s="13">
        <v>0.56000000000000005</v>
      </c>
      <c r="H34" s="13">
        <v>0</v>
      </c>
      <c r="I34" s="13">
        <f t="shared" si="47"/>
        <v>0.56000000000000005</v>
      </c>
      <c r="J34" s="13">
        <f t="shared" si="48"/>
        <v>184.8</v>
      </c>
      <c r="K34" s="20">
        <v>0.27760000000000001</v>
      </c>
      <c r="L34" s="13">
        <f t="shared" si="49"/>
        <v>236.1</v>
      </c>
      <c r="M34" s="13">
        <f t="shared" si="50"/>
        <v>0</v>
      </c>
      <c r="N34" s="13">
        <f t="shared" si="51"/>
        <v>236.1</v>
      </c>
      <c r="X34" s="45">
        <v>0.25</v>
      </c>
      <c r="Y34" s="44">
        <f t="shared" si="52"/>
        <v>59.024999999999999</v>
      </c>
      <c r="Z34" s="45">
        <v>0.75</v>
      </c>
      <c r="AA34" s="44">
        <f t="shared" si="53"/>
        <v>177.07499999999999</v>
      </c>
      <c r="AC34" s="43">
        <f t="shared" si="54"/>
        <v>1</v>
      </c>
      <c r="AD34" s="12">
        <f t="shared" si="55"/>
        <v>236.1</v>
      </c>
      <c r="AE34" s="4" t="str">
        <f t="shared" si="56"/>
        <v>OK</v>
      </c>
    </row>
    <row r="35" spans="1:31" ht="30" outlineLevel="1" x14ac:dyDescent="0.25">
      <c r="A35" s="18" t="s">
        <v>24</v>
      </c>
      <c r="B35" s="18" t="s">
        <v>51</v>
      </c>
      <c r="C35" s="18" t="s">
        <v>253</v>
      </c>
      <c r="D35" s="25" t="s">
        <v>52</v>
      </c>
      <c r="E35" s="46" t="s">
        <v>9</v>
      </c>
      <c r="F35" s="24">
        <v>330</v>
      </c>
      <c r="G35" s="13">
        <v>0.54</v>
      </c>
      <c r="H35" s="13">
        <v>0</v>
      </c>
      <c r="I35" s="13">
        <f t="shared" si="47"/>
        <v>0.54</v>
      </c>
      <c r="J35" s="13">
        <f t="shared" si="48"/>
        <v>178.2</v>
      </c>
      <c r="K35" s="20">
        <v>0.27760000000000001</v>
      </c>
      <c r="L35" s="13">
        <f t="shared" si="49"/>
        <v>227.66</v>
      </c>
      <c r="M35" s="13">
        <f t="shared" si="50"/>
        <v>0</v>
      </c>
      <c r="N35" s="13">
        <f t="shared" si="51"/>
        <v>227.66</v>
      </c>
      <c r="X35" s="45">
        <v>0.25</v>
      </c>
      <c r="Y35" s="44">
        <f t="shared" si="52"/>
        <v>56.914999999999999</v>
      </c>
      <c r="Z35" s="45">
        <v>0.75</v>
      </c>
      <c r="AA35" s="44">
        <f t="shared" si="53"/>
        <v>170.745</v>
      </c>
      <c r="AC35" s="43">
        <f t="shared" si="54"/>
        <v>1</v>
      </c>
      <c r="AD35" s="12">
        <f t="shared" si="55"/>
        <v>227.66</v>
      </c>
      <c r="AE35" s="4" t="str">
        <f t="shared" si="56"/>
        <v>OK</v>
      </c>
    </row>
    <row r="36" spans="1:31" x14ac:dyDescent="0.25">
      <c r="D36" s="28"/>
    </row>
    <row r="37" spans="1:31" x14ac:dyDescent="0.25">
      <c r="A37" s="5" t="s">
        <v>53</v>
      </c>
      <c r="B37" s="6"/>
      <c r="C37" s="6"/>
      <c r="D37" s="29"/>
      <c r="E37" s="6"/>
      <c r="F37" s="7"/>
      <c r="G37" s="7"/>
      <c r="H37" s="7"/>
      <c r="I37" s="8"/>
      <c r="J37" s="8"/>
      <c r="K37" s="8"/>
      <c r="L37" s="8"/>
      <c r="M37" s="8"/>
      <c r="N37" s="8">
        <f>SUM(N38:N45)</f>
        <v>7017.1299999999992</v>
      </c>
      <c r="P37" s="35">
        <f>N37/$N$171</f>
        <v>2.0472091035254488E-2</v>
      </c>
      <c r="Q37" s="35"/>
      <c r="T37" s="58">
        <f>U37/$N$171</f>
        <v>0</v>
      </c>
      <c r="U37" s="8">
        <f>SUM(U38:U45)</f>
        <v>0</v>
      </c>
      <c r="V37" s="58">
        <f>W37/$N$171</f>
        <v>0</v>
      </c>
      <c r="W37" s="8">
        <f>SUM(W38:W45)</f>
        <v>0</v>
      </c>
      <c r="X37" s="58">
        <f>Y37/$N$171</f>
        <v>5.118022758813622E-3</v>
      </c>
      <c r="Y37" s="8">
        <f>SUM(Y38:Y45)</f>
        <v>1754.2824999999998</v>
      </c>
      <c r="Z37" s="58">
        <f>AA37/$N$171</f>
        <v>1.5354068276440867E-2</v>
      </c>
      <c r="AA37" s="8">
        <f>SUM(AA38:AA45)</f>
        <v>5262.8474999999999</v>
      </c>
      <c r="AC37" s="5"/>
      <c r="AD37" s="12">
        <f t="shared" ref="AD37" si="57">SUM(U37,W37,Y37,AA37)</f>
        <v>7017.1299999999992</v>
      </c>
      <c r="AE37" s="4" t="str">
        <f t="shared" ref="AE37" si="58">IF(AD37=N37,"OK","VERIFICAR")</f>
        <v>OK</v>
      </c>
    </row>
    <row r="38" spans="1:31" outlineLevel="1" x14ac:dyDescent="0.25">
      <c r="A38" s="18" t="s">
        <v>6</v>
      </c>
      <c r="B38" s="18" t="s">
        <v>54</v>
      </c>
      <c r="C38" s="18" t="s">
        <v>8</v>
      </c>
      <c r="D38" s="19" t="s">
        <v>55</v>
      </c>
      <c r="E38" s="46" t="s">
        <v>9</v>
      </c>
      <c r="F38" s="24">
        <v>5</v>
      </c>
      <c r="G38" s="13">
        <f>COTACOES!M2</f>
        <v>139.845</v>
      </c>
      <c r="H38" s="13">
        <v>0</v>
      </c>
      <c r="I38" s="13">
        <f t="shared" ref="I38:I41" si="59">G38+H38</f>
        <v>139.845</v>
      </c>
      <c r="J38" s="13">
        <f t="shared" ref="J38:J41" si="60">TRUNC(I38*F38,2)</f>
        <v>699.22</v>
      </c>
      <c r="K38" s="20">
        <v>0.27760000000000001</v>
      </c>
      <c r="L38" s="13">
        <f t="shared" ref="L38:L41" si="61">TRUNC($F38*G38*(1+$K38),2)</f>
        <v>893.32</v>
      </c>
      <c r="M38" s="13">
        <f t="shared" ref="M38:M41" si="62">TRUNC($F38*H38*(1+$K38),2)</f>
        <v>0</v>
      </c>
      <c r="N38" s="13">
        <f t="shared" ref="N38:N41" si="63">M38+L38</f>
        <v>893.32</v>
      </c>
      <c r="X38" s="45">
        <v>0.25</v>
      </c>
      <c r="Y38" s="44">
        <f t="shared" ref="Y38:Y45" si="64">X38*$N38</f>
        <v>223.33</v>
      </c>
      <c r="Z38" s="45">
        <v>0.75</v>
      </c>
      <c r="AA38" s="44">
        <f t="shared" ref="AA38:AA45" si="65">Z38*$N38</f>
        <v>669.99</v>
      </c>
      <c r="AC38" s="43">
        <f t="shared" ref="AC38:AC45" si="66">SUM(T38,V38,X38,Z38)</f>
        <v>1</v>
      </c>
      <c r="AD38" s="12">
        <f t="shared" ref="AD38:AD45" si="67">SUM(U38,W38,Y38,AA38)</f>
        <v>893.32</v>
      </c>
      <c r="AE38" s="4" t="str">
        <f t="shared" ref="AE38:AE45" si="68">IF(AD38=N38,"OK","VERIFICAR")</f>
        <v>OK</v>
      </c>
    </row>
    <row r="39" spans="1:31" outlineLevel="1" x14ac:dyDescent="0.25">
      <c r="A39" s="18" t="s">
        <v>6</v>
      </c>
      <c r="B39" s="18" t="s">
        <v>56</v>
      </c>
      <c r="C39" s="18" t="s">
        <v>8</v>
      </c>
      <c r="D39" s="19" t="s">
        <v>57</v>
      </c>
      <c r="E39" s="46" t="s">
        <v>9</v>
      </c>
      <c r="F39" s="24">
        <v>10</v>
      </c>
      <c r="G39" s="13">
        <f>COTACOES!M3</f>
        <v>78.989999999999995</v>
      </c>
      <c r="H39" s="13">
        <v>0</v>
      </c>
      <c r="I39" s="13">
        <f t="shared" si="59"/>
        <v>78.989999999999995</v>
      </c>
      <c r="J39" s="13">
        <f t="shared" si="60"/>
        <v>789.9</v>
      </c>
      <c r="K39" s="20">
        <v>0.27760000000000001</v>
      </c>
      <c r="L39" s="13">
        <f t="shared" si="61"/>
        <v>1009.17</v>
      </c>
      <c r="M39" s="13">
        <f t="shared" si="62"/>
        <v>0</v>
      </c>
      <c r="N39" s="13">
        <f t="shared" si="63"/>
        <v>1009.17</v>
      </c>
      <c r="X39" s="45">
        <v>0.25</v>
      </c>
      <c r="Y39" s="44">
        <f t="shared" si="64"/>
        <v>252.29249999999999</v>
      </c>
      <c r="Z39" s="45">
        <v>0.75</v>
      </c>
      <c r="AA39" s="44">
        <f t="shared" si="65"/>
        <v>756.87749999999994</v>
      </c>
      <c r="AC39" s="43">
        <f t="shared" si="66"/>
        <v>1</v>
      </c>
      <c r="AD39" s="12">
        <f t="shared" si="67"/>
        <v>1009.17</v>
      </c>
      <c r="AE39" s="4" t="str">
        <f t="shared" si="68"/>
        <v>OK</v>
      </c>
    </row>
    <row r="40" spans="1:31" outlineLevel="1" x14ac:dyDescent="0.25">
      <c r="A40" s="18" t="s">
        <v>6</v>
      </c>
      <c r="B40" s="18" t="s">
        <v>58</v>
      </c>
      <c r="C40" s="18" t="s">
        <v>8</v>
      </c>
      <c r="D40" s="19" t="s">
        <v>59</v>
      </c>
      <c r="E40" s="46" t="s">
        <v>9</v>
      </c>
      <c r="F40" s="24">
        <v>30</v>
      </c>
      <c r="G40" s="13">
        <f>COTACOES!M4</f>
        <v>46.709166666666668</v>
      </c>
      <c r="H40" s="13">
        <v>0</v>
      </c>
      <c r="I40" s="13">
        <f t="shared" si="59"/>
        <v>46.709166666666668</v>
      </c>
      <c r="J40" s="13">
        <f t="shared" si="60"/>
        <v>1401.27</v>
      </c>
      <c r="K40" s="20">
        <v>0.27760000000000001</v>
      </c>
      <c r="L40" s="13">
        <f t="shared" si="61"/>
        <v>1790.26</v>
      </c>
      <c r="M40" s="13">
        <f t="shared" si="62"/>
        <v>0</v>
      </c>
      <c r="N40" s="13">
        <f t="shared" si="63"/>
        <v>1790.26</v>
      </c>
      <c r="X40" s="45">
        <v>0.25</v>
      </c>
      <c r="Y40" s="44">
        <f t="shared" si="64"/>
        <v>447.565</v>
      </c>
      <c r="Z40" s="45">
        <v>0.75</v>
      </c>
      <c r="AA40" s="44">
        <f t="shared" si="65"/>
        <v>1342.6949999999999</v>
      </c>
      <c r="AC40" s="43">
        <f t="shared" si="66"/>
        <v>1</v>
      </c>
      <c r="AD40" s="12">
        <f t="shared" si="67"/>
        <v>1790.26</v>
      </c>
      <c r="AE40" s="4" t="str">
        <f t="shared" si="68"/>
        <v>OK</v>
      </c>
    </row>
    <row r="41" spans="1:31" outlineLevel="1" x14ac:dyDescent="0.25">
      <c r="A41" s="18" t="s">
        <v>6</v>
      </c>
      <c r="B41" s="18" t="s">
        <v>60</v>
      </c>
      <c r="C41" s="18" t="s">
        <v>8</v>
      </c>
      <c r="D41" s="19" t="s">
        <v>61</v>
      </c>
      <c r="E41" s="46" t="s">
        <v>9</v>
      </c>
      <c r="F41" s="24">
        <v>5</v>
      </c>
      <c r="G41" s="13">
        <f>COTACOES!M5</f>
        <v>415.72499999999997</v>
      </c>
      <c r="H41" s="13">
        <v>0</v>
      </c>
      <c r="I41" s="13">
        <f t="shared" si="59"/>
        <v>415.72499999999997</v>
      </c>
      <c r="J41" s="13">
        <f t="shared" si="60"/>
        <v>2078.62</v>
      </c>
      <c r="K41" s="20">
        <v>0.27760000000000001</v>
      </c>
      <c r="L41" s="13">
        <f t="shared" si="61"/>
        <v>2655.65</v>
      </c>
      <c r="M41" s="13">
        <f t="shared" si="62"/>
        <v>0</v>
      </c>
      <c r="N41" s="13">
        <f t="shared" si="63"/>
        <v>2655.65</v>
      </c>
      <c r="X41" s="45">
        <v>0.25</v>
      </c>
      <c r="Y41" s="44">
        <f t="shared" si="64"/>
        <v>663.91250000000002</v>
      </c>
      <c r="Z41" s="45">
        <v>0.75</v>
      </c>
      <c r="AA41" s="44">
        <f t="shared" si="65"/>
        <v>1991.7375000000002</v>
      </c>
      <c r="AC41" s="43">
        <f t="shared" si="66"/>
        <v>1</v>
      </c>
      <c r="AD41" s="12">
        <f t="shared" si="67"/>
        <v>2655.65</v>
      </c>
      <c r="AE41" s="4" t="str">
        <f t="shared" si="68"/>
        <v>OK</v>
      </c>
    </row>
    <row r="42" spans="1:31" ht="30" outlineLevel="1" x14ac:dyDescent="0.25">
      <c r="A42" s="18" t="s">
        <v>24</v>
      </c>
      <c r="B42" s="18" t="s">
        <v>62</v>
      </c>
      <c r="C42" s="18" t="s">
        <v>256</v>
      </c>
      <c r="D42" s="25" t="s">
        <v>255</v>
      </c>
      <c r="E42" s="46" t="s">
        <v>9</v>
      </c>
      <c r="F42" s="24">
        <v>20</v>
      </c>
      <c r="G42" s="13">
        <v>6.6</v>
      </c>
      <c r="H42" s="13">
        <v>4.26</v>
      </c>
      <c r="I42" s="13">
        <f t="shared" ref="I42" si="69">G42+H42</f>
        <v>10.86</v>
      </c>
      <c r="J42" s="13">
        <f t="shared" ref="J42" si="70">TRUNC(I42*F42,2)</f>
        <v>217.2</v>
      </c>
      <c r="K42" s="20">
        <v>0.27760000000000001</v>
      </c>
      <c r="L42" s="13">
        <f t="shared" ref="L42:L43" si="71">TRUNC($F42*G42*(1+$K42),2)</f>
        <v>168.64</v>
      </c>
      <c r="M42" s="13">
        <f t="shared" ref="M42:M43" si="72">TRUNC($F42*H42*(1+$K42),2)</f>
        <v>108.85</v>
      </c>
      <c r="N42" s="13">
        <f t="shared" ref="N42:N43" si="73">M42+L42</f>
        <v>277.49</v>
      </c>
      <c r="X42" s="45">
        <v>0.25</v>
      </c>
      <c r="Y42" s="44">
        <f t="shared" si="64"/>
        <v>69.372500000000002</v>
      </c>
      <c r="Z42" s="45">
        <v>0.75</v>
      </c>
      <c r="AA42" s="44">
        <f t="shared" si="65"/>
        <v>208.11750000000001</v>
      </c>
      <c r="AC42" s="43">
        <f t="shared" si="66"/>
        <v>1</v>
      </c>
      <c r="AD42" s="12">
        <f t="shared" si="67"/>
        <v>277.49</v>
      </c>
      <c r="AE42" s="4" t="str">
        <f t="shared" si="68"/>
        <v>OK</v>
      </c>
    </row>
    <row r="43" spans="1:31" ht="30" outlineLevel="1" x14ac:dyDescent="0.25">
      <c r="A43" s="18" t="s">
        <v>24</v>
      </c>
      <c r="B43" s="18" t="s">
        <v>63</v>
      </c>
      <c r="C43" s="18" t="s">
        <v>254</v>
      </c>
      <c r="D43" s="25" t="s">
        <v>64</v>
      </c>
      <c r="E43" s="46" t="s">
        <v>9</v>
      </c>
      <c r="F43" s="24">
        <v>30</v>
      </c>
      <c r="G43" s="13">
        <v>0.62</v>
      </c>
      <c r="H43" s="13">
        <v>0</v>
      </c>
      <c r="I43" s="13">
        <f t="shared" ref="I43:I44" si="74">G43+H43</f>
        <v>0.62</v>
      </c>
      <c r="J43" s="13">
        <f t="shared" ref="J43:J44" si="75">TRUNC(I43*F43,2)</f>
        <v>18.600000000000001</v>
      </c>
      <c r="K43" s="20">
        <v>0.27760000000000001</v>
      </c>
      <c r="L43" s="13">
        <f t="shared" si="71"/>
        <v>23.76</v>
      </c>
      <c r="M43" s="13">
        <f t="shared" si="72"/>
        <v>0</v>
      </c>
      <c r="N43" s="13">
        <f t="shared" si="73"/>
        <v>23.76</v>
      </c>
      <c r="X43" s="45">
        <v>0.25</v>
      </c>
      <c r="Y43" s="44">
        <f t="shared" si="64"/>
        <v>5.94</v>
      </c>
      <c r="Z43" s="45">
        <v>0.75</v>
      </c>
      <c r="AA43" s="44">
        <f t="shared" si="65"/>
        <v>17.82</v>
      </c>
      <c r="AC43" s="43">
        <f t="shared" si="66"/>
        <v>1</v>
      </c>
      <c r="AD43" s="12">
        <f t="shared" si="67"/>
        <v>23.76</v>
      </c>
      <c r="AE43" s="4" t="str">
        <f t="shared" si="68"/>
        <v>OK</v>
      </c>
    </row>
    <row r="44" spans="1:31" outlineLevel="1" x14ac:dyDescent="0.25">
      <c r="A44" s="18" t="s">
        <v>6</v>
      </c>
      <c r="B44" s="18" t="s">
        <v>65</v>
      </c>
      <c r="C44" s="18" t="s">
        <v>8</v>
      </c>
      <c r="D44" s="19" t="s">
        <v>66</v>
      </c>
      <c r="E44" s="18" t="s">
        <v>9</v>
      </c>
      <c r="F44" s="16">
        <v>5</v>
      </c>
      <c r="G44" s="13">
        <f>COTACOES!M6</f>
        <v>30.25</v>
      </c>
      <c r="H44" s="13">
        <v>0</v>
      </c>
      <c r="I44" s="13">
        <f t="shared" si="74"/>
        <v>30.25</v>
      </c>
      <c r="J44" s="13">
        <f t="shared" si="75"/>
        <v>151.25</v>
      </c>
      <c r="K44" s="20">
        <v>0.27760000000000001</v>
      </c>
      <c r="L44" s="13">
        <f t="shared" ref="L44" si="76">TRUNC($F44*G44*(1+$K44),2)</f>
        <v>193.23</v>
      </c>
      <c r="M44" s="13">
        <f t="shared" ref="M44" si="77">TRUNC($F44*H44*(1+$K44),2)</f>
        <v>0</v>
      </c>
      <c r="N44" s="13">
        <f t="shared" ref="N44" si="78">M44+L44</f>
        <v>193.23</v>
      </c>
      <c r="X44" s="45">
        <v>0.25</v>
      </c>
      <c r="Y44" s="44">
        <f t="shared" si="64"/>
        <v>48.307499999999997</v>
      </c>
      <c r="Z44" s="45">
        <v>0.75</v>
      </c>
      <c r="AA44" s="44">
        <f t="shared" si="65"/>
        <v>144.92249999999999</v>
      </c>
      <c r="AC44" s="43">
        <f t="shared" si="66"/>
        <v>1</v>
      </c>
      <c r="AD44" s="12">
        <f t="shared" si="67"/>
        <v>193.23</v>
      </c>
      <c r="AE44" s="4" t="str">
        <f t="shared" si="68"/>
        <v>OK</v>
      </c>
    </row>
    <row r="45" spans="1:31" outlineLevel="1" x14ac:dyDescent="0.25">
      <c r="A45" s="18" t="s">
        <v>24</v>
      </c>
      <c r="B45" s="18" t="s">
        <v>67</v>
      </c>
      <c r="C45" s="18" t="s">
        <v>257</v>
      </c>
      <c r="D45" s="19" t="s">
        <v>68</v>
      </c>
      <c r="E45" s="18" t="s">
        <v>69</v>
      </c>
      <c r="F45" s="16">
        <v>8</v>
      </c>
      <c r="G45" s="13">
        <v>4.5599999999999996</v>
      </c>
      <c r="H45" s="13">
        <v>12.49</v>
      </c>
      <c r="I45" s="13">
        <f t="shared" ref="I45" si="79">G45+H45</f>
        <v>17.05</v>
      </c>
      <c r="J45" s="13">
        <f t="shared" ref="J45" si="80">TRUNC(I45*F45,2)</f>
        <v>136.4</v>
      </c>
      <c r="K45" s="20">
        <v>0.27760000000000001</v>
      </c>
      <c r="L45" s="13">
        <f t="shared" ref="L45" si="81">TRUNC($F45*G45*(1+$K45),2)</f>
        <v>46.6</v>
      </c>
      <c r="M45" s="13">
        <f t="shared" ref="M45" si="82">TRUNC($F45*H45*(1+$K45),2)</f>
        <v>127.65</v>
      </c>
      <c r="N45" s="13">
        <f t="shared" ref="N45" si="83">M45+L45</f>
        <v>174.25</v>
      </c>
      <c r="X45" s="45">
        <v>0.25</v>
      </c>
      <c r="Y45" s="44">
        <f t="shared" si="64"/>
        <v>43.5625</v>
      </c>
      <c r="Z45" s="45">
        <v>0.75</v>
      </c>
      <c r="AA45" s="44">
        <f t="shared" si="65"/>
        <v>130.6875</v>
      </c>
      <c r="AC45" s="43">
        <f t="shared" si="66"/>
        <v>1</v>
      </c>
      <c r="AD45" s="12">
        <f t="shared" si="67"/>
        <v>174.25</v>
      </c>
      <c r="AE45" s="4" t="str">
        <f t="shared" si="68"/>
        <v>OK</v>
      </c>
    </row>
    <row r="46" spans="1:31" x14ac:dyDescent="0.25">
      <c r="D46" s="28"/>
    </row>
    <row r="47" spans="1:31" x14ac:dyDescent="0.25">
      <c r="A47" s="5" t="s">
        <v>70</v>
      </c>
      <c r="B47" s="6"/>
      <c r="C47" s="6"/>
      <c r="D47" s="29"/>
      <c r="E47" s="6"/>
      <c r="F47" s="7"/>
      <c r="G47" s="7"/>
      <c r="H47" s="7"/>
      <c r="I47" s="8"/>
      <c r="J47" s="8"/>
      <c r="K47" s="8"/>
      <c r="L47" s="8"/>
      <c r="M47" s="8"/>
      <c r="N47" s="8">
        <f>SUM(N48:N57)</f>
        <v>2607.27</v>
      </c>
      <c r="P47" s="35">
        <f>N47/$N$171</f>
        <v>7.6065669003549854E-3</v>
      </c>
      <c r="Q47" s="35"/>
      <c r="T47" s="58">
        <f>U47/$N$171</f>
        <v>0</v>
      </c>
      <c r="U47" s="8">
        <f>SUM(U48:U57)</f>
        <v>0</v>
      </c>
      <c r="V47" s="58">
        <f>W47/$N$171</f>
        <v>0</v>
      </c>
      <c r="W47" s="8">
        <f>SUM(W48:W57)</f>
        <v>0</v>
      </c>
      <c r="X47" s="58">
        <f>Y47/$N$171</f>
        <v>0</v>
      </c>
      <c r="Y47" s="8">
        <f>SUM(Y48:Y57)</f>
        <v>0</v>
      </c>
      <c r="Z47" s="58">
        <f>AA47/$N$171</f>
        <v>7.6065669003549854E-3</v>
      </c>
      <c r="AA47" s="8">
        <f>SUM(AA48:AA57)</f>
        <v>2607.27</v>
      </c>
      <c r="AC47" s="5"/>
      <c r="AD47" s="12">
        <f t="shared" ref="AD47" si="84">SUM(U47,W47,Y47,AA47)</f>
        <v>2607.27</v>
      </c>
      <c r="AE47" s="4" t="str">
        <f t="shared" ref="AE47" si="85">IF(AD47=N47,"OK","VERIFICAR")</f>
        <v>OK</v>
      </c>
    </row>
    <row r="48" spans="1:31" ht="30" outlineLevel="1" x14ac:dyDescent="0.25">
      <c r="A48" s="18" t="s">
        <v>24</v>
      </c>
      <c r="B48" s="18" t="s">
        <v>71</v>
      </c>
      <c r="C48" s="18" t="s">
        <v>263</v>
      </c>
      <c r="D48" s="19" t="s">
        <v>82</v>
      </c>
      <c r="E48" s="46" t="s">
        <v>17</v>
      </c>
      <c r="F48" s="27">
        <v>10</v>
      </c>
      <c r="G48" s="13">
        <v>43.68</v>
      </c>
      <c r="H48" s="13">
        <v>0</v>
      </c>
      <c r="I48" s="13">
        <f t="shared" ref="I48:I55" si="86">G48+H48</f>
        <v>43.68</v>
      </c>
      <c r="J48" s="13">
        <f t="shared" ref="J48:J55" si="87">TRUNC(I48*F48,2)</f>
        <v>436.8</v>
      </c>
      <c r="K48" s="20">
        <v>0.27760000000000001</v>
      </c>
      <c r="L48" s="13">
        <f t="shared" ref="L48:L55" si="88">TRUNC($F48*G48*(1+$K48),2)</f>
        <v>558.04999999999995</v>
      </c>
      <c r="M48" s="13">
        <f t="shared" ref="M48:M55" si="89">TRUNC($F48*H48*(1+$K48),2)</f>
        <v>0</v>
      </c>
      <c r="N48" s="13">
        <f t="shared" ref="N48:N55" si="90">M48+L48</f>
        <v>558.04999999999995</v>
      </c>
      <c r="Z48" s="45">
        <v>1</v>
      </c>
      <c r="AA48" s="44">
        <f t="shared" ref="AA48:AA57" si="91">Z48*$N48</f>
        <v>558.04999999999995</v>
      </c>
      <c r="AC48" s="43">
        <f t="shared" ref="AC48:AC57" si="92">SUM(T48,V48,X48,Z48)</f>
        <v>1</v>
      </c>
      <c r="AD48" s="12">
        <f t="shared" ref="AD48:AD57" si="93">SUM(U48,W48,Y48,AA48)</f>
        <v>558.04999999999995</v>
      </c>
      <c r="AE48" s="4" t="str">
        <f t="shared" ref="AE48:AE57" si="94">IF(AD48=N48,"OK","VERIFICAR")</f>
        <v>OK</v>
      </c>
    </row>
    <row r="49" spans="1:31" ht="30" outlineLevel="1" x14ac:dyDescent="0.25">
      <c r="A49" s="18" t="s">
        <v>24</v>
      </c>
      <c r="B49" s="18" t="s">
        <v>72</v>
      </c>
      <c r="C49" s="18" t="s">
        <v>264</v>
      </c>
      <c r="D49" s="19" t="s">
        <v>83</v>
      </c>
      <c r="E49" s="46" t="s">
        <v>17</v>
      </c>
      <c r="F49" s="27">
        <v>3</v>
      </c>
      <c r="G49" s="13">
        <v>23.34</v>
      </c>
      <c r="H49" s="13">
        <v>0</v>
      </c>
      <c r="I49" s="13">
        <f t="shared" si="86"/>
        <v>23.34</v>
      </c>
      <c r="J49" s="13">
        <f t="shared" si="87"/>
        <v>70.02</v>
      </c>
      <c r="K49" s="20">
        <v>0.27760000000000001</v>
      </c>
      <c r="L49" s="13">
        <f t="shared" si="88"/>
        <v>89.45</v>
      </c>
      <c r="M49" s="13">
        <f t="shared" si="89"/>
        <v>0</v>
      </c>
      <c r="N49" s="13">
        <f t="shared" si="90"/>
        <v>89.45</v>
      </c>
      <c r="Z49" s="45">
        <v>1</v>
      </c>
      <c r="AA49" s="44">
        <f t="shared" si="91"/>
        <v>89.45</v>
      </c>
      <c r="AC49" s="43">
        <f t="shared" si="92"/>
        <v>1</v>
      </c>
      <c r="AD49" s="12">
        <f t="shared" si="93"/>
        <v>89.45</v>
      </c>
      <c r="AE49" s="4" t="str">
        <f t="shared" si="94"/>
        <v>OK</v>
      </c>
    </row>
    <row r="50" spans="1:31" outlineLevel="1" x14ac:dyDescent="0.25">
      <c r="A50" s="18" t="s">
        <v>24</v>
      </c>
      <c r="B50" s="18" t="s">
        <v>73</v>
      </c>
      <c r="C50" s="18" t="s">
        <v>265</v>
      </c>
      <c r="D50" s="19" t="s">
        <v>85</v>
      </c>
      <c r="E50" s="46" t="s">
        <v>9</v>
      </c>
      <c r="F50" s="27">
        <v>1</v>
      </c>
      <c r="G50" s="13">
        <v>516.11</v>
      </c>
      <c r="H50" s="13">
        <v>0</v>
      </c>
      <c r="I50" s="13">
        <f t="shared" si="86"/>
        <v>516.11</v>
      </c>
      <c r="J50" s="13">
        <f t="shared" si="87"/>
        <v>516.11</v>
      </c>
      <c r="K50" s="20">
        <v>0.27760000000000001</v>
      </c>
      <c r="L50" s="13">
        <f t="shared" si="88"/>
        <v>659.38</v>
      </c>
      <c r="M50" s="13">
        <f t="shared" si="89"/>
        <v>0</v>
      </c>
      <c r="N50" s="13">
        <f t="shared" si="90"/>
        <v>659.38</v>
      </c>
      <c r="Z50" s="45">
        <v>1</v>
      </c>
      <c r="AA50" s="44">
        <f t="shared" si="91"/>
        <v>659.38</v>
      </c>
      <c r="AC50" s="43">
        <f t="shared" si="92"/>
        <v>1</v>
      </c>
      <c r="AD50" s="12">
        <f t="shared" si="93"/>
        <v>659.38</v>
      </c>
      <c r="AE50" s="4" t="str">
        <f t="shared" si="94"/>
        <v>OK</v>
      </c>
    </row>
    <row r="51" spans="1:31" ht="30" outlineLevel="1" x14ac:dyDescent="0.25">
      <c r="A51" s="18" t="s">
        <v>24</v>
      </c>
      <c r="B51" s="18" t="s">
        <v>74</v>
      </c>
      <c r="C51" s="18" t="s">
        <v>266</v>
      </c>
      <c r="D51" s="19" t="s">
        <v>86</v>
      </c>
      <c r="E51" s="46" t="s">
        <v>9</v>
      </c>
      <c r="F51" s="27">
        <v>2</v>
      </c>
      <c r="G51" s="13">
        <v>20.010000000000002</v>
      </c>
      <c r="H51" s="13">
        <v>0</v>
      </c>
      <c r="I51" s="13">
        <f t="shared" si="86"/>
        <v>20.010000000000002</v>
      </c>
      <c r="J51" s="13">
        <f t="shared" si="87"/>
        <v>40.020000000000003</v>
      </c>
      <c r="K51" s="20">
        <v>0.27760000000000001</v>
      </c>
      <c r="L51" s="13">
        <f t="shared" si="88"/>
        <v>51.12</v>
      </c>
      <c r="M51" s="13">
        <f t="shared" si="89"/>
        <v>0</v>
      </c>
      <c r="N51" s="13">
        <f t="shared" si="90"/>
        <v>51.12</v>
      </c>
      <c r="Z51" s="45">
        <v>1</v>
      </c>
      <c r="AA51" s="44">
        <f t="shared" si="91"/>
        <v>51.12</v>
      </c>
      <c r="AC51" s="43">
        <f t="shared" si="92"/>
        <v>1</v>
      </c>
      <c r="AD51" s="12">
        <f t="shared" si="93"/>
        <v>51.12</v>
      </c>
      <c r="AE51" s="4" t="str">
        <f t="shared" si="94"/>
        <v>OK</v>
      </c>
    </row>
    <row r="52" spans="1:31" ht="30" outlineLevel="1" x14ac:dyDescent="0.25">
      <c r="A52" s="18" t="s">
        <v>24</v>
      </c>
      <c r="B52" s="18" t="s">
        <v>75</v>
      </c>
      <c r="C52" s="18" t="s">
        <v>267</v>
      </c>
      <c r="D52" s="19" t="s">
        <v>88</v>
      </c>
      <c r="E52" s="46" t="s">
        <v>9</v>
      </c>
      <c r="F52" s="27">
        <f>3*2</f>
        <v>6</v>
      </c>
      <c r="G52" s="13">
        <v>21.49</v>
      </c>
      <c r="H52" s="13">
        <v>26.06</v>
      </c>
      <c r="I52" s="13">
        <f t="shared" si="86"/>
        <v>47.55</v>
      </c>
      <c r="J52" s="13">
        <f t="shared" si="87"/>
        <v>285.3</v>
      </c>
      <c r="K52" s="20">
        <v>0.27760000000000001</v>
      </c>
      <c r="L52" s="13">
        <f t="shared" si="88"/>
        <v>164.73</v>
      </c>
      <c r="M52" s="13">
        <f t="shared" si="89"/>
        <v>199.76</v>
      </c>
      <c r="N52" s="13">
        <f t="shared" si="90"/>
        <v>364.49</v>
      </c>
      <c r="Z52" s="45">
        <v>1</v>
      </c>
      <c r="AA52" s="44">
        <f t="shared" si="91"/>
        <v>364.49</v>
      </c>
      <c r="AC52" s="43">
        <f t="shared" si="92"/>
        <v>1</v>
      </c>
      <c r="AD52" s="12">
        <f t="shared" si="93"/>
        <v>364.49</v>
      </c>
      <c r="AE52" s="4" t="str">
        <f t="shared" si="94"/>
        <v>OK</v>
      </c>
    </row>
    <row r="53" spans="1:31" ht="30" outlineLevel="1" x14ac:dyDescent="0.25">
      <c r="A53" s="18" t="s">
        <v>24</v>
      </c>
      <c r="B53" s="18" t="s">
        <v>76</v>
      </c>
      <c r="C53" s="18" t="s">
        <v>268</v>
      </c>
      <c r="D53" s="19" t="s">
        <v>89</v>
      </c>
      <c r="E53" s="46" t="s">
        <v>9</v>
      </c>
      <c r="F53" s="27">
        <v>2</v>
      </c>
      <c r="G53" s="13">
        <v>9.5500000000000007</v>
      </c>
      <c r="H53" s="13">
        <v>8.51</v>
      </c>
      <c r="I53" s="13">
        <f t="shared" si="86"/>
        <v>18.060000000000002</v>
      </c>
      <c r="J53" s="13">
        <f t="shared" si="87"/>
        <v>36.119999999999997</v>
      </c>
      <c r="K53" s="20">
        <v>0.27760000000000001</v>
      </c>
      <c r="L53" s="13">
        <f t="shared" si="88"/>
        <v>24.4</v>
      </c>
      <c r="M53" s="13">
        <f t="shared" si="89"/>
        <v>21.74</v>
      </c>
      <c r="N53" s="13">
        <f t="shared" si="90"/>
        <v>46.14</v>
      </c>
      <c r="Z53" s="45">
        <v>1</v>
      </c>
      <c r="AA53" s="44">
        <f t="shared" si="91"/>
        <v>46.14</v>
      </c>
      <c r="AC53" s="43">
        <f t="shared" si="92"/>
        <v>1</v>
      </c>
      <c r="AD53" s="12">
        <f t="shared" si="93"/>
        <v>46.14</v>
      </c>
      <c r="AE53" s="4" t="str">
        <f t="shared" si="94"/>
        <v>OK</v>
      </c>
    </row>
    <row r="54" spans="1:31" ht="30" outlineLevel="1" x14ac:dyDescent="0.25">
      <c r="A54" s="18" t="s">
        <v>24</v>
      </c>
      <c r="B54" s="18" t="s">
        <v>77</v>
      </c>
      <c r="C54" s="18" t="s">
        <v>269</v>
      </c>
      <c r="D54" s="25" t="s">
        <v>90</v>
      </c>
      <c r="E54" s="46" t="s">
        <v>9</v>
      </c>
      <c r="F54" s="27">
        <v>1</v>
      </c>
      <c r="G54" s="13">
        <f>2.94+189.31+0.49</f>
        <v>192.74</v>
      </c>
      <c r="H54" s="13">
        <v>157.04</v>
      </c>
      <c r="I54" s="13">
        <f t="shared" si="86"/>
        <v>349.78</v>
      </c>
      <c r="J54" s="13">
        <f t="shared" si="87"/>
        <v>349.78</v>
      </c>
      <c r="K54" s="20">
        <v>0.27760000000000001</v>
      </c>
      <c r="L54" s="13">
        <f t="shared" si="88"/>
        <v>246.24</v>
      </c>
      <c r="M54" s="13">
        <f t="shared" si="89"/>
        <v>200.63</v>
      </c>
      <c r="N54" s="13">
        <f t="shared" si="90"/>
        <v>446.87</v>
      </c>
      <c r="Z54" s="45">
        <v>1</v>
      </c>
      <c r="AA54" s="44">
        <f t="shared" si="91"/>
        <v>446.87</v>
      </c>
      <c r="AC54" s="43">
        <f t="shared" si="92"/>
        <v>1</v>
      </c>
      <c r="AD54" s="12">
        <f t="shared" si="93"/>
        <v>446.87</v>
      </c>
      <c r="AE54" s="4" t="str">
        <f t="shared" si="94"/>
        <v>OK</v>
      </c>
    </row>
    <row r="55" spans="1:31" ht="30" outlineLevel="1" x14ac:dyDescent="0.25">
      <c r="A55" s="18" t="s">
        <v>24</v>
      </c>
      <c r="B55" s="18" t="s">
        <v>78</v>
      </c>
      <c r="C55" s="18" t="s">
        <v>270</v>
      </c>
      <c r="D55" s="19" t="s">
        <v>91</v>
      </c>
      <c r="E55" s="46" t="s">
        <v>17</v>
      </c>
      <c r="F55" s="27">
        <v>2</v>
      </c>
      <c r="G55" s="13">
        <v>14.8</v>
      </c>
      <c r="H55" s="13">
        <v>17.02</v>
      </c>
      <c r="I55" s="13">
        <f t="shared" si="86"/>
        <v>31.82</v>
      </c>
      <c r="J55" s="13">
        <f t="shared" si="87"/>
        <v>63.64</v>
      </c>
      <c r="K55" s="20">
        <v>0.27760000000000001</v>
      </c>
      <c r="L55" s="13">
        <f t="shared" si="88"/>
        <v>37.81</v>
      </c>
      <c r="M55" s="13">
        <f t="shared" si="89"/>
        <v>43.48</v>
      </c>
      <c r="N55" s="13">
        <f t="shared" si="90"/>
        <v>81.289999999999992</v>
      </c>
      <c r="Z55" s="45">
        <v>1</v>
      </c>
      <c r="AA55" s="44">
        <f t="shared" si="91"/>
        <v>81.289999999999992</v>
      </c>
      <c r="AC55" s="43">
        <f t="shared" si="92"/>
        <v>1</v>
      </c>
      <c r="AD55" s="12">
        <f t="shared" si="93"/>
        <v>81.289999999999992</v>
      </c>
      <c r="AE55" s="4" t="str">
        <f t="shared" si="94"/>
        <v>OK</v>
      </c>
    </row>
    <row r="56" spans="1:31" ht="30" outlineLevel="1" x14ac:dyDescent="0.25">
      <c r="A56" s="18" t="s">
        <v>24</v>
      </c>
      <c r="B56" s="18" t="s">
        <v>79</v>
      </c>
      <c r="C56" s="18" t="s">
        <v>257</v>
      </c>
      <c r="D56" s="19" t="s">
        <v>261</v>
      </c>
      <c r="E56" s="18" t="s">
        <v>69</v>
      </c>
      <c r="F56" s="16">
        <v>8</v>
      </c>
      <c r="G56" s="13">
        <v>4.5599999999999996</v>
      </c>
      <c r="H56" s="13">
        <v>12.49</v>
      </c>
      <c r="I56" s="13">
        <f t="shared" ref="I56:I57" si="95">G56+H56</f>
        <v>17.05</v>
      </c>
      <c r="J56" s="13">
        <f t="shared" ref="J56:J57" si="96">TRUNC(I56*F56,2)</f>
        <v>136.4</v>
      </c>
      <c r="K56" s="20">
        <v>0.27760000000000001</v>
      </c>
      <c r="L56" s="13">
        <f t="shared" ref="L56:L57" si="97">TRUNC($F56*G56*(1+$K56),2)</f>
        <v>46.6</v>
      </c>
      <c r="M56" s="13">
        <f t="shared" ref="M56:M57" si="98">TRUNC($F56*H56*(1+$K56),2)</f>
        <v>127.65</v>
      </c>
      <c r="N56" s="13">
        <f t="shared" ref="N56:N57" si="99">M56+L56</f>
        <v>174.25</v>
      </c>
      <c r="Z56" s="45">
        <v>1</v>
      </c>
      <c r="AA56" s="44">
        <f t="shared" si="91"/>
        <v>174.25</v>
      </c>
      <c r="AC56" s="43">
        <f t="shared" si="92"/>
        <v>1</v>
      </c>
      <c r="AD56" s="12">
        <f t="shared" si="93"/>
        <v>174.25</v>
      </c>
      <c r="AE56" s="4" t="str">
        <f t="shared" si="94"/>
        <v>OK</v>
      </c>
    </row>
    <row r="57" spans="1:31" outlineLevel="1" x14ac:dyDescent="0.25">
      <c r="A57" s="18" t="s">
        <v>24</v>
      </c>
      <c r="B57" s="18" t="s">
        <v>80</v>
      </c>
      <c r="C57" s="18" t="s">
        <v>271</v>
      </c>
      <c r="D57" s="19" t="s">
        <v>87</v>
      </c>
      <c r="E57" s="46" t="s">
        <v>69</v>
      </c>
      <c r="F57" s="27">
        <v>8</v>
      </c>
      <c r="G57" s="13">
        <v>4.5599999999999996</v>
      </c>
      <c r="H57" s="13">
        <v>8.77</v>
      </c>
      <c r="I57" s="13">
        <f t="shared" si="95"/>
        <v>13.329999999999998</v>
      </c>
      <c r="J57" s="13">
        <f t="shared" si="96"/>
        <v>106.64</v>
      </c>
      <c r="K57" s="20">
        <v>0.27760000000000001</v>
      </c>
      <c r="L57" s="13">
        <f t="shared" si="97"/>
        <v>46.6</v>
      </c>
      <c r="M57" s="13">
        <f t="shared" si="98"/>
        <v>89.63</v>
      </c>
      <c r="N57" s="13">
        <f t="shared" si="99"/>
        <v>136.22999999999999</v>
      </c>
      <c r="Z57" s="45">
        <v>1</v>
      </c>
      <c r="AA57" s="44">
        <f t="shared" si="91"/>
        <v>136.22999999999999</v>
      </c>
      <c r="AC57" s="43">
        <f t="shared" si="92"/>
        <v>1</v>
      </c>
      <c r="AD57" s="12">
        <f t="shared" si="93"/>
        <v>136.22999999999999</v>
      </c>
      <c r="AE57" s="4" t="str">
        <f t="shared" si="94"/>
        <v>OK</v>
      </c>
    </row>
    <row r="58" spans="1:31" x14ac:dyDescent="0.25">
      <c r="D58" s="28"/>
    </row>
    <row r="59" spans="1:31" x14ac:dyDescent="0.25">
      <c r="A59" s="5" t="s">
        <v>92</v>
      </c>
      <c r="B59" s="6"/>
      <c r="C59" s="6"/>
      <c r="D59" s="29"/>
      <c r="E59" s="6"/>
      <c r="F59" s="7"/>
      <c r="G59" s="7"/>
      <c r="H59" s="7"/>
      <c r="I59" s="8"/>
      <c r="J59" s="8"/>
      <c r="K59" s="8"/>
      <c r="L59" s="8"/>
      <c r="M59" s="8"/>
      <c r="N59" s="8">
        <f>SUM(N60:N78)</f>
        <v>8947.16</v>
      </c>
      <c r="P59" s="35">
        <f>N59/$N$171</f>
        <v>2.6102847464274933E-2</v>
      </c>
      <c r="Q59" s="35"/>
      <c r="T59" s="58">
        <f>U59/$N$171</f>
        <v>0</v>
      </c>
      <c r="U59" s="8">
        <f>SUM(U60:U78)</f>
        <v>0</v>
      </c>
      <c r="V59" s="58">
        <f>W59/$N$171</f>
        <v>0</v>
      </c>
      <c r="W59" s="8">
        <f>SUM(W60:W78)</f>
        <v>0</v>
      </c>
      <c r="X59" s="58">
        <f>Y59/$N$171</f>
        <v>6.5257118660687332E-3</v>
      </c>
      <c r="Y59" s="8">
        <f>SUM(Y60:Y78)</f>
        <v>2236.79</v>
      </c>
      <c r="Z59" s="58">
        <f>AA59/$N$171</f>
        <v>1.9577135598206202E-2</v>
      </c>
      <c r="AA59" s="8">
        <f>SUM(AA60:AA78)</f>
        <v>6710.3700000000008</v>
      </c>
      <c r="AC59" s="5"/>
      <c r="AD59" s="12">
        <f t="shared" ref="AD59" si="100">SUM(U59,W59,Y59,AA59)</f>
        <v>8947.16</v>
      </c>
      <c r="AE59" s="4" t="str">
        <f t="shared" ref="AE59" si="101">IF(AD59=N59,"OK","VERIFICAR")</f>
        <v>OK</v>
      </c>
    </row>
    <row r="60" spans="1:31" outlineLevel="1" x14ac:dyDescent="0.25">
      <c r="A60" s="18" t="s">
        <v>24</v>
      </c>
      <c r="B60" s="18" t="s">
        <v>93</v>
      </c>
      <c r="C60" s="18" t="s">
        <v>265</v>
      </c>
      <c r="D60" s="19" t="s">
        <v>85</v>
      </c>
      <c r="E60" s="46" t="s">
        <v>9</v>
      </c>
      <c r="F60" s="27">
        <v>1</v>
      </c>
      <c r="G60" s="13">
        <v>516.11</v>
      </c>
      <c r="H60" s="13">
        <v>0</v>
      </c>
      <c r="I60" s="13">
        <f t="shared" ref="I60" si="102">G60+H60</f>
        <v>516.11</v>
      </c>
      <c r="J60" s="13">
        <f t="shared" ref="J60" si="103">TRUNC(I60*F60,2)</f>
        <v>516.11</v>
      </c>
      <c r="K60" s="20">
        <v>0.27760000000000001</v>
      </c>
      <c r="L60" s="13">
        <f t="shared" ref="L60" si="104">TRUNC($F60*G60*(1+$K60),2)</f>
        <v>659.38</v>
      </c>
      <c r="M60" s="13">
        <f t="shared" ref="M60" si="105">TRUNC($F60*H60*(1+$K60),2)</f>
        <v>0</v>
      </c>
      <c r="N60" s="13">
        <f t="shared" ref="N60" si="106">M60+L60</f>
        <v>659.38</v>
      </c>
      <c r="X60" s="45">
        <v>0.25</v>
      </c>
      <c r="Y60" s="44">
        <f t="shared" ref="Y60" si="107">X60*$N60</f>
        <v>164.845</v>
      </c>
      <c r="Z60" s="45">
        <v>0.75</v>
      </c>
      <c r="AA60" s="44">
        <f t="shared" ref="AA60" si="108">Z60*$N60</f>
        <v>494.53499999999997</v>
      </c>
      <c r="AC60" s="43">
        <f t="shared" ref="AC60:AC78" si="109">SUM(T60,V60,X60,Z60)</f>
        <v>1</v>
      </c>
      <c r="AD60" s="12">
        <f t="shared" ref="AD60:AD78" si="110">SUM(U60,W60,Y60,AA60)</f>
        <v>659.38</v>
      </c>
      <c r="AE60" s="4" t="str">
        <f t="shared" ref="AE60:AE78" si="111">IF(AD60=N60,"OK","VERIFICAR")</f>
        <v>OK</v>
      </c>
    </row>
    <row r="61" spans="1:31" ht="30" outlineLevel="1" x14ac:dyDescent="0.25">
      <c r="A61" s="18" t="s">
        <v>24</v>
      </c>
      <c r="B61" s="18" t="s">
        <v>94</v>
      </c>
      <c r="C61" s="18" t="s">
        <v>272</v>
      </c>
      <c r="D61" s="19" t="s">
        <v>95</v>
      </c>
      <c r="E61" s="46" t="s">
        <v>9</v>
      </c>
      <c r="F61" s="27">
        <v>1</v>
      </c>
      <c r="G61" s="13">
        <v>107.32</v>
      </c>
      <c r="H61" s="13">
        <v>8.49</v>
      </c>
      <c r="I61" s="13">
        <f t="shared" ref="I61:I77" si="112">G61+H61</f>
        <v>115.80999999999999</v>
      </c>
      <c r="J61" s="13">
        <f t="shared" ref="J61:J77" si="113">TRUNC(I61*F61,2)</f>
        <v>115.81</v>
      </c>
      <c r="K61" s="20">
        <v>0.27760000000000001</v>
      </c>
      <c r="L61" s="13">
        <f t="shared" ref="L61:L77" si="114">TRUNC($F61*G61*(1+$K61),2)</f>
        <v>137.11000000000001</v>
      </c>
      <c r="M61" s="13">
        <f t="shared" ref="M61:M77" si="115">TRUNC($F61*H61*(1+$K61),2)</f>
        <v>10.84</v>
      </c>
      <c r="N61" s="13">
        <f t="shared" ref="N61:N77" si="116">M61+L61</f>
        <v>147.95000000000002</v>
      </c>
      <c r="X61" s="45">
        <v>0.25</v>
      </c>
      <c r="Y61" s="44">
        <f t="shared" ref="Y61:Y78" si="117">X61*$N61</f>
        <v>36.987500000000004</v>
      </c>
      <c r="Z61" s="45">
        <v>0.75</v>
      </c>
      <c r="AA61" s="44">
        <f t="shared" ref="AA61:AA78" si="118">Z61*$N61</f>
        <v>110.96250000000001</v>
      </c>
      <c r="AC61" s="43">
        <f t="shared" si="109"/>
        <v>1</v>
      </c>
      <c r="AD61" s="12">
        <f t="shared" si="110"/>
        <v>147.95000000000002</v>
      </c>
      <c r="AE61" s="4" t="str">
        <f t="shared" si="111"/>
        <v>OK</v>
      </c>
    </row>
    <row r="62" spans="1:31" ht="30" outlineLevel="1" x14ac:dyDescent="0.25">
      <c r="A62" s="18" t="s">
        <v>24</v>
      </c>
      <c r="B62" s="18" t="s">
        <v>96</v>
      </c>
      <c r="C62" s="18" t="s">
        <v>273</v>
      </c>
      <c r="D62" s="19" t="s">
        <v>97</v>
      </c>
      <c r="E62" s="46" t="s">
        <v>9</v>
      </c>
      <c r="F62" s="27">
        <v>3</v>
      </c>
      <c r="G62" s="13">
        <v>77.319999999999993</v>
      </c>
      <c r="H62" s="13">
        <v>8.49</v>
      </c>
      <c r="I62" s="13">
        <f t="shared" si="112"/>
        <v>85.809999999999988</v>
      </c>
      <c r="J62" s="13">
        <f t="shared" si="113"/>
        <v>257.43</v>
      </c>
      <c r="K62" s="20">
        <v>0.27760000000000001</v>
      </c>
      <c r="L62" s="13">
        <f t="shared" si="114"/>
        <v>296.35000000000002</v>
      </c>
      <c r="M62" s="13">
        <f t="shared" si="115"/>
        <v>32.54</v>
      </c>
      <c r="N62" s="13">
        <f t="shared" si="116"/>
        <v>328.89000000000004</v>
      </c>
      <c r="X62" s="45">
        <v>0.25</v>
      </c>
      <c r="Y62" s="44">
        <f t="shared" si="117"/>
        <v>82.222500000000011</v>
      </c>
      <c r="Z62" s="45">
        <v>0.75</v>
      </c>
      <c r="AA62" s="44">
        <f t="shared" si="118"/>
        <v>246.66750000000002</v>
      </c>
      <c r="AC62" s="43">
        <f t="shared" si="109"/>
        <v>1</v>
      </c>
      <c r="AD62" s="12">
        <f t="shared" si="110"/>
        <v>328.89000000000004</v>
      </c>
      <c r="AE62" s="4" t="str">
        <f t="shared" si="111"/>
        <v>OK</v>
      </c>
    </row>
    <row r="63" spans="1:31" ht="30" outlineLevel="1" x14ac:dyDescent="0.25">
      <c r="A63" s="18" t="s">
        <v>24</v>
      </c>
      <c r="B63" s="18" t="s">
        <v>98</v>
      </c>
      <c r="C63" s="18" t="s">
        <v>274</v>
      </c>
      <c r="D63" s="19" t="s">
        <v>99</v>
      </c>
      <c r="E63" s="46" t="s">
        <v>9</v>
      </c>
      <c r="F63" s="27">
        <v>1</v>
      </c>
      <c r="G63" s="13">
        <v>59.67</v>
      </c>
      <c r="H63" s="13">
        <v>1.86</v>
      </c>
      <c r="I63" s="13">
        <f t="shared" si="112"/>
        <v>61.53</v>
      </c>
      <c r="J63" s="13">
        <f t="shared" si="113"/>
        <v>61.53</v>
      </c>
      <c r="K63" s="20">
        <v>0.27760000000000001</v>
      </c>
      <c r="L63" s="13">
        <f t="shared" si="114"/>
        <v>76.23</v>
      </c>
      <c r="M63" s="13">
        <f t="shared" si="115"/>
        <v>2.37</v>
      </c>
      <c r="N63" s="13">
        <f t="shared" si="116"/>
        <v>78.600000000000009</v>
      </c>
      <c r="X63" s="45">
        <v>0.25</v>
      </c>
      <c r="Y63" s="44">
        <f t="shared" si="117"/>
        <v>19.650000000000002</v>
      </c>
      <c r="Z63" s="45">
        <v>0.75</v>
      </c>
      <c r="AA63" s="44">
        <f t="shared" si="118"/>
        <v>58.95</v>
      </c>
      <c r="AC63" s="43">
        <f t="shared" si="109"/>
        <v>1</v>
      </c>
      <c r="AD63" s="12">
        <f t="shared" si="110"/>
        <v>78.600000000000009</v>
      </c>
      <c r="AE63" s="4" t="str">
        <f t="shared" si="111"/>
        <v>OK</v>
      </c>
    </row>
    <row r="64" spans="1:31" ht="30" outlineLevel="1" x14ac:dyDescent="0.25">
      <c r="A64" s="18" t="s">
        <v>24</v>
      </c>
      <c r="B64" s="18" t="s">
        <v>100</v>
      </c>
      <c r="C64" s="18" t="s">
        <v>275</v>
      </c>
      <c r="D64" s="19" t="s">
        <v>88</v>
      </c>
      <c r="E64" s="46" t="s">
        <v>9</v>
      </c>
      <c r="F64" s="27">
        <v>3</v>
      </c>
      <c r="G64" s="13">
        <v>10.74</v>
      </c>
      <c r="H64" s="13">
        <v>0</v>
      </c>
      <c r="I64" s="13">
        <f t="shared" si="112"/>
        <v>10.74</v>
      </c>
      <c r="J64" s="13">
        <f t="shared" si="113"/>
        <v>32.22</v>
      </c>
      <c r="K64" s="20">
        <v>0.27760000000000001</v>
      </c>
      <c r="L64" s="13">
        <f t="shared" si="114"/>
        <v>41.16</v>
      </c>
      <c r="M64" s="13">
        <f t="shared" si="115"/>
        <v>0</v>
      </c>
      <c r="N64" s="13">
        <f t="shared" si="116"/>
        <v>41.16</v>
      </c>
      <c r="X64" s="45">
        <v>0.25</v>
      </c>
      <c r="Y64" s="44">
        <f t="shared" si="117"/>
        <v>10.29</v>
      </c>
      <c r="Z64" s="45">
        <v>0.75</v>
      </c>
      <c r="AA64" s="44">
        <f t="shared" si="118"/>
        <v>30.869999999999997</v>
      </c>
      <c r="AC64" s="43">
        <f t="shared" si="109"/>
        <v>1</v>
      </c>
      <c r="AD64" s="12">
        <f t="shared" si="110"/>
        <v>41.16</v>
      </c>
      <c r="AE64" s="4" t="str">
        <f t="shared" si="111"/>
        <v>OK</v>
      </c>
    </row>
    <row r="65" spans="1:31" ht="30" outlineLevel="1" x14ac:dyDescent="0.25">
      <c r="A65" s="18" t="s">
        <v>24</v>
      </c>
      <c r="B65" s="18" t="s">
        <v>101</v>
      </c>
      <c r="C65" s="18" t="s">
        <v>276</v>
      </c>
      <c r="D65" s="19" t="s">
        <v>102</v>
      </c>
      <c r="E65" s="46" t="s">
        <v>9</v>
      </c>
      <c r="F65" s="27">
        <v>6</v>
      </c>
      <c r="G65" s="13">
        <v>6.1</v>
      </c>
      <c r="H65" s="13">
        <v>0</v>
      </c>
      <c r="I65" s="13">
        <f t="shared" si="112"/>
        <v>6.1</v>
      </c>
      <c r="J65" s="13">
        <f t="shared" si="113"/>
        <v>36.6</v>
      </c>
      <c r="K65" s="20">
        <v>0.27760000000000001</v>
      </c>
      <c r="L65" s="13">
        <f t="shared" si="114"/>
        <v>46.76</v>
      </c>
      <c r="M65" s="13">
        <f t="shared" si="115"/>
        <v>0</v>
      </c>
      <c r="N65" s="13">
        <f t="shared" si="116"/>
        <v>46.76</v>
      </c>
      <c r="X65" s="45">
        <v>0.25</v>
      </c>
      <c r="Y65" s="44">
        <f t="shared" si="117"/>
        <v>11.69</v>
      </c>
      <c r="Z65" s="45">
        <v>0.75</v>
      </c>
      <c r="AA65" s="44">
        <f t="shared" si="118"/>
        <v>35.07</v>
      </c>
      <c r="AC65" s="43">
        <f t="shared" si="109"/>
        <v>1</v>
      </c>
      <c r="AD65" s="12">
        <f t="shared" si="110"/>
        <v>46.76</v>
      </c>
      <c r="AE65" s="4" t="str">
        <f t="shared" si="111"/>
        <v>OK</v>
      </c>
    </row>
    <row r="66" spans="1:31" ht="30" outlineLevel="1" x14ac:dyDescent="0.25">
      <c r="A66" s="18" t="s">
        <v>24</v>
      </c>
      <c r="B66" s="18" t="s">
        <v>103</v>
      </c>
      <c r="C66" s="18" t="s">
        <v>268</v>
      </c>
      <c r="D66" s="19" t="s">
        <v>89</v>
      </c>
      <c r="E66" s="46" t="s">
        <v>9</v>
      </c>
      <c r="F66" s="27">
        <v>4</v>
      </c>
      <c r="G66" s="13">
        <v>9.5500000000000007</v>
      </c>
      <c r="H66" s="13">
        <v>8.51</v>
      </c>
      <c r="I66" s="13">
        <f t="shared" si="112"/>
        <v>18.060000000000002</v>
      </c>
      <c r="J66" s="13">
        <f t="shared" si="113"/>
        <v>72.239999999999995</v>
      </c>
      <c r="K66" s="20">
        <v>0.27760000000000001</v>
      </c>
      <c r="L66" s="13">
        <f t="shared" si="114"/>
        <v>48.8</v>
      </c>
      <c r="M66" s="13">
        <f t="shared" si="115"/>
        <v>43.48</v>
      </c>
      <c r="N66" s="13">
        <f t="shared" si="116"/>
        <v>92.28</v>
      </c>
      <c r="X66" s="45">
        <v>0.25</v>
      </c>
      <c r="Y66" s="44">
        <f t="shared" si="117"/>
        <v>23.07</v>
      </c>
      <c r="Z66" s="45">
        <v>0.75</v>
      </c>
      <c r="AA66" s="44">
        <f t="shared" si="118"/>
        <v>69.210000000000008</v>
      </c>
      <c r="AC66" s="43">
        <f t="shared" si="109"/>
        <v>1</v>
      </c>
      <c r="AD66" s="12">
        <f t="shared" si="110"/>
        <v>92.28</v>
      </c>
      <c r="AE66" s="4" t="str">
        <f t="shared" si="111"/>
        <v>OK</v>
      </c>
    </row>
    <row r="67" spans="1:31" ht="30" outlineLevel="1" x14ac:dyDescent="0.25">
      <c r="A67" s="18" t="s">
        <v>24</v>
      </c>
      <c r="B67" s="18" t="s">
        <v>104</v>
      </c>
      <c r="C67" s="18" t="s">
        <v>277</v>
      </c>
      <c r="D67" s="19" t="s">
        <v>105</v>
      </c>
      <c r="E67" s="46" t="s">
        <v>9</v>
      </c>
      <c r="F67" s="24">
        <v>15</v>
      </c>
      <c r="G67" s="13">
        <v>3.41</v>
      </c>
      <c r="H67" s="13">
        <v>0</v>
      </c>
      <c r="I67" s="13">
        <f t="shared" si="112"/>
        <v>3.41</v>
      </c>
      <c r="J67" s="13">
        <f t="shared" si="113"/>
        <v>51.15</v>
      </c>
      <c r="K67" s="20">
        <v>0.27760000000000001</v>
      </c>
      <c r="L67" s="13">
        <f t="shared" si="114"/>
        <v>65.34</v>
      </c>
      <c r="M67" s="13">
        <f t="shared" si="115"/>
        <v>0</v>
      </c>
      <c r="N67" s="13">
        <f t="shared" si="116"/>
        <v>65.34</v>
      </c>
      <c r="X67" s="45">
        <v>0.25</v>
      </c>
      <c r="Y67" s="44">
        <f t="shared" si="117"/>
        <v>16.335000000000001</v>
      </c>
      <c r="Z67" s="45">
        <v>0.75</v>
      </c>
      <c r="AA67" s="44">
        <f t="shared" si="118"/>
        <v>49.005000000000003</v>
      </c>
      <c r="AC67" s="43">
        <f t="shared" si="109"/>
        <v>1</v>
      </c>
      <c r="AD67" s="12">
        <f t="shared" si="110"/>
        <v>65.34</v>
      </c>
      <c r="AE67" s="4" t="str">
        <f t="shared" si="111"/>
        <v>OK</v>
      </c>
    </row>
    <row r="68" spans="1:31" ht="30" outlineLevel="1" x14ac:dyDescent="0.25">
      <c r="A68" s="18" t="s">
        <v>24</v>
      </c>
      <c r="B68" s="18" t="s">
        <v>106</v>
      </c>
      <c r="C68" s="18" t="s">
        <v>278</v>
      </c>
      <c r="D68" s="19" t="s">
        <v>107</v>
      </c>
      <c r="E68" s="46" t="s">
        <v>17</v>
      </c>
      <c r="F68" s="27">
        <v>45</v>
      </c>
      <c r="G68" s="13">
        <v>45.8</v>
      </c>
      <c r="H68" s="13">
        <v>2.71</v>
      </c>
      <c r="I68" s="13">
        <f t="shared" si="112"/>
        <v>48.51</v>
      </c>
      <c r="J68" s="13">
        <f t="shared" si="113"/>
        <v>2182.9499999999998</v>
      </c>
      <c r="K68" s="20">
        <v>0.27760000000000001</v>
      </c>
      <c r="L68" s="13">
        <f t="shared" si="114"/>
        <v>2633.13</v>
      </c>
      <c r="M68" s="13">
        <f t="shared" si="115"/>
        <v>155.80000000000001</v>
      </c>
      <c r="N68" s="13">
        <f t="shared" si="116"/>
        <v>2788.9300000000003</v>
      </c>
      <c r="X68" s="45">
        <v>0.25</v>
      </c>
      <c r="Y68" s="44">
        <f t="shared" si="117"/>
        <v>697.23250000000007</v>
      </c>
      <c r="Z68" s="45">
        <v>0.75</v>
      </c>
      <c r="AA68" s="44">
        <f t="shared" si="118"/>
        <v>2091.6975000000002</v>
      </c>
      <c r="AC68" s="43">
        <f t="shared" si="109"/>
        <v>1</v>
      </c>
      <c r="AD68" s="12">
        <f t="shared" si="110"/>
        <v>2788.9300000000003</v>
      </c>
      <c r="AE68" s="4" t="str">
        <f t="shared" si="111"/>
        <v>OK</v>
      </c>
    </row>
    <row r="69" spans="1:31" ht="30" outlineLevel="1" x14ac:dyDescent="0.25">
      <c r="A69" s="18" t="s">
        <v>24</v>
      </c>
      <c r="B69" s="18" t="s">
        <v>108</v>
      </c>
      <c r="C69" s="18" t="s">
        <v>279</v>
      </c>
      <c r="D69" s="19" t="s">
        <v>109</v>
      </c>
      <c r="E69" s="46" t="s">
        <v>17</v>
      </c>
      <c r="F69" s="27">
        <v>15</v>
      </c>
      <c r="G69" s="13">
        <v>34.57</v>
      </c>
      <c r="H69" s="13">
        <v>2.21</v>
      </c>
      <c r="I69" s="13">
        <f t="shared" si="112"/>
        <v>36.78</v>
      </c>
      <c r="J69" s="13">
        <f t="shared" si="113"/>
        <v>551.70000000000005</v>
      </c>
      <c r="K69" s="20">
        <v>0.27760000000000001</v>
      </c>
      <c r="L69" s="13">
        <f t="shared" si="114"/>
        <v>662.49</v>
      </c>
      <c r="M69" s="13">
        <f t="shared" si="115"/>
        <v>42.35</v>
      </c>
      <c r="N69" s="13">
        <f t="shared" si="116"/>
        <v>704.84</v>
      </c>
      <c r="X69" s="45">
        <v>0.25</v>
      </c>
      <c r="Y69" s="44">
        <f t="shared" si="117"/>
        <v>176.21</v>
      </c>
      <c r="Z69" s="45">
        <v>0.75</v>
      </c>
      <c r="AA69" s="44">
        <f t="shared" si="118"/>
        <v>528.63</v>
      </c>
      <c r="AC69" s="43">
        <f t="shared" si="109"/>
        <v>1</v>
      </c>
      <c r="AD69" s="12">
        <f t="shared" si="110"/>
        <v>704.84</v>
      </c>
      <c r="AE69" s="4" t="str">
        <f t="shared" si="111"/>
        <v>OK</v>
      </c>
    </row>
    <row r="70" spans="1:31" ht="30" outlineLevel="1" x14ac:dyDescent="0.25">
      <c r="A70" s="18" t="s">
        <v>24</v>
      </c>
      <c r="B70" s="18" t="s">
        <v>110</v>
      </c>
      <c r="C70" s="18" t="s">
        <v>280</v>
      </c>
      <c r="D70" s="19" t="s">
        <v>111</v>
      </c>
      <c r="E70" s="46" t="s">
        <v>17</v>
      </c>
      <c r="F70" s="27">
        <v>15</v>
      </c>
      <c r="G70" s="13">
        <v>25.05</v>
      </c>
      <c r="H70" s="13">
        <v>1.84</v>
      </c>
      <c r="I70" s="13">
        <f t="shared" si="112"/>
        <v>26.89</v>
      </c>
      <c r="J70" s="13">
        <f t="shared" si="113"/>
        <v>403.35</v>
      </c>
      <c r="K70" s="20">
        <v>0.27760000000000001</v>
      </c>
      <c r="L70" s="13">
        <f t="shared" si="114"/>
        <v>480.05</v>
      </c>
      <c r="M70" s="13">
        <f t="shared" si="115"/>
        <v>35.26</v>
      </c>
      <c r="N70" s="13">
        <f t="shared" si="116"/>
        <v>515.31000000000006</v>
      </c>
      <c r="X70" s="45">
        <v>0.25</v>
      </c>
      <c r="Y70" s="44">
        <f t="shared" si="117"/>
        <v>128.82750000000001</v>
      </c>
      <c r="Z70" s="45">
        <v>0.75</v>
      </c>
      <c r="AA70" s="44">
        <f t="shared" si="118"/>
        <v>386.48250000000007</v>
      </c>
      <c r="AC70" s="43">
        <f t="shared" si="109"/>
        <v>1</v>
      </c>
      <c r="AD70" s="12">
        <f t="shared" si="110"/>
        <v>515.31000000000006</v>
      </c>
      <c r="AE70" s="4" t="str">
        <f t="shared" si="111"/>
        <v>OK</v>
      </c>
    </row>
    <row r="71" spans="1:31" ht="30" outlineLevel="1" x14ac:dyDescent="0.25">
      <c r="A71" s="18" t="s">
        <v>24</v>
      </c>
      <c r="B71" s="18" t="s">
        <v>112</v>
      </c>
      <c r="C71" s="18" t="s">
        <v>269</v>
      </c>
      <c r="D71" s="25" t="s">
        <v>90</v>
      </c>
      <c r="E71" s="46" t="s">
        <v>9</v>
      </c>
      <c r="F71" s="24">
        <v>1</v>
      </c>
      <c r="G71" s="13">
        <f>2.94+189.31+0.49</f>
        <v>192.74</v>
      </c>
      <c r="H71" s="13">
        <v>157.04</v>
      </c>
      <c r="I71" s="13">
        <f t="shared" si="112"/>
        <v>349.78</v>
      </c>
      <c r="J71" s="13">
        <f t="shared" si="113"/>
        <v>349.78</v>
      </c>
      <c r="K71" s="20">
        <v>0.27760000000000001</v>
      </c>
      <c r="L71" s="13">
        <f t="shared" si="114"/>
        <v>246.24</v>
      </c>
      <c r="M71" s="13">
        <f t="shared" si="115"/>
        <v>200.63</v>
      </c>
      <c r="N71" s="13">
        <f t="shared" si="116"/>
        <v>446.87</v>
      </c>
      <c r="X71" s="45">
        <v>0.25</v>
      </c>
      <c r="Y71" s="44">
        <f t="shared" si="117"/>
        <v>111.7175</v>
      </c>
      <c r="Z71" s="45">
        <v>0.75</v>
      </c>
      <c r="AA71" s="44">
        <f t="shared" si="118"/>
        <v>335.15250000000003</v>
      </c>
      <c r="AC71" s="43">
        <f t="shared" si="109"/>
        <v>1</v>
      </c>
      <c r="AD71" s="12">
        <f t="shared" si="110"/>
        <v>446.87</v>
      </c>
      <c r="AE71" s="4" t="str">
        <f t="shared" si="111"/>
        <v>OK</v>
      </c>
    </row>
    <row r="72" spans="1:31" outlineLevel="1" x14ac:dyDescent="0.25">
      <c r="A72" s="18" t="s">
        <v>6</v>
      </c>
      <c r="B72" s="18" t="s">
        <v>113</v>
      </c>
      <c r="C72" s="18" t="s">
        <v>8</v>
      </c>
      <c r="D72" s="19" t="s">
        <v>114</v>
      </c>
      <c r="E72" s="46" t="s">
        <v>17</v>
      </c>
      <c r="F72" s="27">
        <v>7</v>
      </c>
      <c r="G72" s="13">
        <f>COTACOES!M10</f>
        <v>64.569999999999993</v>
      </c>
      <c r="H72" s="13">
        <v>0</v>
      </c>
      <c r="I72" s="13">
        <f t="shared" si="112"/>
        <v>64.569999999999993</v>
      </c>
      <c r="J72" s="13">
        <f t="shared" si="113"/>
        <v>451.99</v>
      </c>
      <c r="K72" s="20">
        <v>0.27760000000000001</v>
      </c>
      <c r="L72" s="13">
        <f t="shared" si="114"/>
        <v>577.46</v>
      </c>
      <c r="M72" s="13">
        <f t="shared" si="115"/>
        <v>0</v>
      </c>
      <c r="N72" s="13">
        <f t="shared" si="116"/>
        <v>577.46</v>
      </c>
      <c r="X72" s="45">
        <v>0.25</v>
      </c>
      <c r="Y72" s="44">
        <f t="shared" si="117"/>
        <v>144.36500000000001</v>
      </c>
      <c r="Z72" s="45">
        <v>0.75</v>
      </c>
      <c r="AA72" s="44">
        <f t="shared" si="118"/>
        <v>433.09500000000003</v>
      </c>
      <c r="AC72" s="43">
        <f t="shared" si="109"/>
        <v>1</v>
      </c>
      <c r="AD72" s="12">
        <f t="shared" si="110"/>
        <v>577.46</v>
      </c>
      <c r="AE72" s="4" t="str">
        <f t="shared" si="111"/>
        <v>OK</v>
      </c>
    </row>
    <row r="73" spans="1:31" outlineLevel="1" x14ac:dyDescent="0.25">
      <c r="A73" s="18" t="s">
        <v>6</v>
      </c>
      <c r="B73" s="18" t="s">
        <v>115</v>
      </c>
      <c r="C73" s="18" t="s">
        <v>8</v>
      </c>
      <c r="D73" s="19" t="s">
        <v>116</v>
      </c>
      <c r="E73" s="46" t="s">
        <v>17</v>
      </c>
      <c r="F73" s="27">
        <v>5</v>
      </c>
      <c r="G73" s="13">
        <f>COTACOES!M11</f>
        <v>33.65</v>
      </c>
      <c r="H73" s="13">
        <v>0</v>
      </c>
      <c r="I73" s="13">
        <f t="shared" si="112"/>
        <v>33.65</v>
      </c>
      <c r="J73" s="13">
        <f t="shared" si="113"/>
        <v>168.25</v>
      </c>
      <c r="K73" s="20">
        <v>0.27760000000000001</v>
      </c>
      <c r="L73" s="13">
        <f t="shared" si="114"/>
        <v>214.95</v>
      </c>
      <c r="M73" s="13">
        <f t="shared" si="115"/>
        <v>0</v>
      </c>
      <c r="N73" s="13">
        <f t="shared" si="116"/>
        <v>214.95</v>
      </c>
      <c r="X73" s="45">
        <v>0.25</v>
      </c>
      <c r="Y73" s="44">
        <f t="shared" si="117"/>
        <v>53.737499999999997</v>
      </c>
      <c r="Z73" s="45">
        <v>0.75</v>
      </c>
      <c r="AA73" s="44">
        <f t="shared" si="118"/>
        <v>161.21249999999998</v>
      </c>
      <c r="AC73" s="43">
        <f t="shared" si="109"/>
        <v>1</v>
      </c>
      <c r="AD73" s="12">
        <f t="shared" si="110"/>
        <v>214.95</v>
      </c>
      <c r="AE73" s="4" t="str">
        <f t="shared" si="111"/>
        <v>OK</v>
      </c>
    </row>
    <row r="74" spans="1:31" outlineLevel="1" x14ac:dyDescent="0.25">
      <c r="A74" s="18" t="s">
        <v>6</v>
      </c>
      <c r="B74" s="18" t="s">
        <v>117</v>
      </c>
      <c r="C74" s="18" t="s">
        <v>8</v>
      </c>
      <c r="D74" s="19" t="s">
        <v>118</v>
      </c>
      <c r="E74" s="46" t="s">
        <v>9</v>
      </c>
      <c r="F74" s="27">
        <v>16</v>
      </c>
      <c r="G74" s="13">
        <f>COTACOES!M12</f>
        <v>7.76</v>
      </c>
      <c r="H74" s="13">
        <v>0</v>
      </c>
      <c r="I74" s="13">
        <f t="shared" si="112"/>
        <v>7.76</v>
      </c>
      <c r="J74" s="13">
        <f t="shared" si="113"/>
        <v>124.16</v>
      </c>
      <c r="K74" s="20">
        <v>0.27760000000000001</v>
      </c>
      <c r="L74" s="13">
        <f t="shared" si="114"/>
        <v>158.62</v>
      </c>
      <c r="M74" s="13">
        <f t="shared" si="115"/>
        <v>0</v>
      </c>
      <c r="N74" s="13">
        <f t="shared" si="116"/>
        <v>158.62</v>
      </c>
      <c r="X74" s="45">
        <v>0.25</v>
      </c>
      <c r="Y74" s="44">
        <f t="shared" si="117"/>
        <v>39.655000000000001</v>
      </c>
      <c r="Z74" s="45">
        <v>0.75</v>
      </c>
      <c r="AA74" s="44">
        <f t="shared" si="118"/>
        <v>118.965</v>
      </c>
      <c r="AC74" s="43">
        <f t="shared" si="109"/>
        <v>1</v>
      </c>
      <c r="AD74" s="12">
        <f t="shared" si="110"/>
        <v>158.62</v>
      </c>
      <c r="AE74" s="4" t="str">
        <f t="shared" si="111"/>
        <v>OK</v>
      </c>
    </row>
    <row r="75" spans="1:31" ht="30" outlineLevel="1" x14ac:dyDescent="0.25">
      <c r="A75" s="18" t="s">
        <v>24</v>
      </c>
      <c r="B75" s="18" t="s">
        <v>119</v>
      </c>
      <c r="C75" s="18" t="s">
        <v>281</v>
      </c>
      <c r="D75" s="19" t="s">
        <v>120</v>
      </c>
      <c r="E75" s="46" t="s">
        <v>9</v>
      </c>
      <c r="F75" s="27">
        <v>4</v>
      </c>
      <c r="G75" s="13">
        <v>12.56</v>
      </c>
      <c r="H75" s="13">
        <v>0</v>
      </c>
      <c r="I75" s="13">
        <f t="shared" si="112"/>
        <v>12.56</v>
      </c>
      <c r="J75" s="13">
        <f t="shared" si="113"/>
        <v>50.24</v>
      </c>
      <c r="K75" s="20">
        <v>0.27760000000000001</v>
      </c>
      <c r="L75" s="13">
        <f t="shared" si="114"/>
        <v>64.180000000000007</v>
      </c>
      <c r="M75" s="13">
        <f t="shared" si="115"/>
        <v>0</v>
      </c>
      <c r="N75" s="13">
        <f t="shared" si="116"/>
        <v>64.180000000000007</v>
      </c>
      <c r="X75" s="45">
        <v>0.25</v>
      </c>
      <c r="Y75" s="44">
        <f t="shared" si="117"/>
        <v>16.045000000000002</v>
      </c>
      <c r="Z75" s="45">
        <v>0.75</v>
      </c>
      <c r="AA75" s="44">
        <f t="shared" si="118"/>
        <v>48.135000000000005</v>
      </c>
      <c r="AC75" s="43">
        <f t="shared" si="109"/>
        <v>1</v>
      </c>
      <c r="AD75" s="12">
        <f t="shared" si="110"/>
        <v>64.180000000000007</v>
      </c>
      <c r="AE75" s="4" t="str">
        <f t="shared" si="111"/>
        <v>OK</v>
      </c>
    </row>
    <row r="76" spans="1:31" outlineLevel="1" x14ac:dyDescent="0.25">
      <c r="A76" s="18" t="s">
        <v>6</v>
      </c>
      <c r="B76" s="18" t="s">
        <v>121</v>
      </c>
      <c r="C76" s="18" t="s">
        <v>8</v>
      </c>
      <c r="D76" s="19" t="s">
        <v>423</v>
      </c>
      <c r="E76" s="46" t="s">
        <v>9</v>
      </c>
      <c r="F76" s="27">
        <v>1</v>
      </c>
      <c r="G76" s="13">
        <f>COTACOES!M13</f>
        <v>964</v>
      </c>
      <c r="H76" s="13">
        <v>0</v>
      </c>
      <c r="I76" s="13">
        <f t="shared" si="112"/>
        <v>964</v>
      </c>
      <c r="J76" s="13">
        <f t="shared" si="113"/>
        <v>964</v>
      </c>
      <c r="K76" s="20">
        <v>0.27760000000000001</v>
      </c>
      <c r="L76" s="13">
        <f t="shared" si="114"/>
        <v>1231.5999999999999</v>
      </c>
      <c r="M76" s="13">
        <f t="shared" si="115"/>
        <v>0</v>
      </c>
      <c r="N76" s="13">
        <f t="shared" si="116"/>
        <v>1231.5999999999999</v>
      </c>
      <c r="X76" s="45">
        <v>0.25</v>
      </c>
      <c r="Y76" s="44">
        <f t="shared" si="117"/>
        <v>307.89999999999998</v>
      </c>
      <c r="Z76" s="45">
        <v>0.75</v>
      </c>
      <c r="AA76" s="44">
        <f t="shared" si="118"/>
        <v>923.69999999999993</v>
      </c>
      <c r="AC76" s="43">
        <f t="shared" si="109"/>
        <v>1</v>
      </c>
      <c r="AD76" s="12">
        <f t="shared" si="110"/>
        <v>1231.5999999999999</v>
      </c>
      <c r="AE76" s="4" t="str">
        <f t="shared" si="111"/>
        <v>OK</v>
      </c>
    </row>
    <row r="77" spans="1:31" ht="30" outlineLevel="1" x14ac:dyDescent="0.25">
      <c r="A77" s="18" t="s">
        <v>24</v>
      </c>
      <c r="B77" s="18" t="s">
        <v>122</v>
      </c>
      <c r="C77" s="18" t="s">
        <v>270</v>
      </c>
      <c r="D77" s="19" t="s">
        <v>91</v>
      </c>
      <c r="E77" s="46" t="s">
        <v>9</v>
      </c>
      <c r="F77" s="27">
        <v>15</v>
      </c>
      <c r="G77" s="13">
        <v>14.8</v>
      </c>
      <c r="H77" s="13">
        <v>17.02</v>
      </c>
      <c r="I77" s="13">
        <f t="shared" si="112"/>
        <v>31.82</v>
      </c>
      <c r="J77" s="13">
        <f t="shared" si="113"/>
        <v>477.3</v>
      </c>
      <c r="K77" s="20">
        <v>0.27760000000000001</v>
      </c>
      <c r="L77" s="13">
        <f t="shared" si="114"/>
        <v>283.62</v>
      </c>
      <c r="M77" s="13">
        <f t="shared" si="115"/>
        <v>326.17</v>
      </c>
      <c r="N77" s="13">
        <f t="shared" si="116"/>
        <v>609.79</v>
      </c>
      <c r="X77" s="45">
        <v>0.25</v>
      </c>
      <c r="Y77" s="44">
        <f t="shared" si="117"/>
        <v>152.44749999999999</v>
      </c>
      <c r="Z77" s="45">
        <v>0.75</v>
      </c>
      <c r="AA77" s="44">
        <f t="shared" si="118"/>
        <v>457.34249999999997</v>
      </c>
      <c r="AC77" s="43">
        <f t="shared" si="109"/>
        <v>1</v>
      </c>
      <c r="AD77" s="12">
        <f t="shared" si="110"/>
        <v>609.79</v>
      </c>
      <c r="AE77" s="4" t="str">
        <f t="shared" si="111"/>
        <v>OK</v>
      </c>
    </row>
    <row r="78" spans="1:31" outlineLevel="1" x14ac:dyDescent="0.25">
      <c r="A78" s="18" t="s">
        <v>24</v>
      </c>
      <c r="B78" s="18" t="s">
        <v>123</v>
      </c>
      <c r="C78" s="18" t="s">
        <v>257</v>
      </c>
      <c r="D78" s="19" t="s">
        <v>231</v>
      </c>
      <c r="E78" s="18" t="s">
        <v>69</v>
      </c>
      <c r="F78" s="16">
        <v>8</v>
      </c>
      <c r="G78" s="13">
        <v>4.5599999999999996</v>
      </c>
      <c r="H78" s="13">
        <v>12.49</v>
      </c>
      <c r="I78" s="13">
        <f t="shared" ref="I78" si="119">G78+H78</f>
        <v>17.05</v>
      </c>
      <c r="J78" s="13">
        <f t="shared" ref="J78" si="120">TRUNC(I78*F78,2)</f>
        <v>136.4</v>
      </c>
      <c r="K78" s="20">
        <v>0.27760000000000001</v>
      </c>
      <c r="L78" s="13">
        <f t="shared" ref="L78" si="121">TRUNC($F78*G78*(1+$K78),2)</f>
        <v>46.6</v>
      </c>
      <c r="M78" s="13">
        <f t="shared" ref="M78" si="122">TRUNC($F78*H78*(1+$K78),2)</f>
        <v>127.65</v>
      </c>
      <c r="N78" s="13">
        <f t="shared" ref="N78" si="123">M78+L78</f>
        <v>174.25</v>
      </c>
      <c r="X78" s="45">
        <v>0.25</v>
      </c>
      <c r="Y78" s="44">
        <f t="shared" si="117"/>
        <v>43.5625</v>
      </c>
      <c r="Z78" s="45">
        <v>0.75</v>
      </c>
      <c r="AA78" s="44">
        <f t="shared" si="118"/>
        <v>130.6875</v>
      </c>
      <c r="AC78" s="43">
        <f t="shared" si="109"/>
        <v>1</v>
      </c>
      <c r="AD78" s="12">
        <f t="shared" si="110"/>
        <v>174.25</v>
      </c>
      <c r="AE78" s="4" t="str">
        <f t="shared" si="111"/>
        <v>OK</v>
      </c>
    </row>
    <row r="79" spans="1:31" x14ac:dyDescent="0.25">
      <c r="D79" s="28"/>
    </row>
    <row r="80" spans="1:31" x14ac:dyDescent="0.25">
      <c r="A80" s="5" t="s">
        <v>124</v>
      </c>
      <c r="B80" s="6"/>
      <c r="C80" s="6"/>
      <c r="D80" s="29"/>
      <c r="E80" s="6"/>
      <c r="F80" s="7"/>
      <c r="G80" s="7"/>
      <c r="H80" s="7"/>
      <c r="I80" s="8"/>
      <c r="J80" s="8"/>
      <c r="K80" s="8"/>
      <c r="L80" s="8"/>
      <c r="M80" s="8"/>
      <c r="N80" s="8">
        <f>SUM(N81:N120)</f>
        <v>18508.34</v>
      </c>
      <c r="P80" s="35">
        <f>N80/$N$171</f>
        <v>5.3997064525160871E-2</v>
      </c>
      <c r="Q80" s="35">
        <f>N80/$N$171</f>
        <v>5.3997064525160871E-2</v>
      </c>
      <c r="T80" s="58">
        <f>U80/$N$171</f>
        <v>0</v>
      </c>
      <c r="U80" s="8">
        <f>SUM(U81:U120)</f>
        <v>0</v>
      </c>
      <c r="V80" s="58">
        <f>W80/$N$171</f>
        <v>0</v>
      </c>
      <c r="W80" s="8">
        <f>SUM(W81:W120)</f>
        <v>0</v>
      </c>
      <c r="X80" s="58">
        <f>Y80/$N$171</f>
        <v>4.0497798393870653E-2</v>
      </c>
      <c r="Y80" s="8">
        <f>SUM(Y81:Y120)</f>
        <v>13881.255000000001</v>
      </c>
      <c r="Z80" s="58">
        <f>AA80/$N$171</f>
        <v>1.3499266131290218E-2</v>
      </c>
      <c r="AA80" s="8">
        <f>SUM(AA81:AA120)</f>
        <v>4627.085</v>
      </c>
      <c r="AC80" s="5"/>
      <c r="AD80" s="12">
        <f t="shared" ref="AD80" si="124">SUM(U80,W80,Y80,AA80)</f>
        <v>18508.34</v>
      </c>
      <c r="AE80" s="4" t="str">
        <f t="shared" ref="AE80" si="125">IF(AD80=N80,"OK","VERIFICAR")</f>
        <v>OK</v>
      </c>
    </row>
    <row r="81" spans="1:31" ht="30" outlineLevel="1" x14ac:dyDescent="0.25">
      <c r="A81" s="18" t="s">
        <v>24</v>
      </c>
      <c r="B81" s="18" t="s">
        <v>125</v>
      </c>
      <c r="C81" s="18" t="s">
        <v>282</v>
      </c>
      <c r="D81" s="25" t="s">
        <v>126</v>
      </c>
      <c r="E81" s="46" t="s">
        <v>84</v>
      </c>
      <c r="F81" s="27">
        <v>50</v>
      </c>
      <c r="G81" s="13">
        <v>12.26</v>
      </c>
      <c r="H81" s="13">
        <v>2.73</v>
      </c>
      <c r="I81" s="13">
        <f t="shared" ref="I81:I92" si="126">G81+H81</f>
        <v>14.99</v>
      </c>
      <c r="J81" s="13">
        <f t="shared" ref="J81:J92" si="127">TRUNC(I81*F81,2)</f>
        <v>749.5</v>
      </c>
      <c r="K81" s="20">
        <v>0.27760000000000001</v>
      </c>
      <c r="L81" s="13">
        <f t="shared" ref="L81:L92" si="128">TRUNC($F81*G81*(1+$K81),2)</f>
        <v>783.16</v>
      </c>
      <c r="M81" s="13">
        <f t="shared" ref="M81:M92" si="129">TRUNC($F81*H81*(1+$K81),2)</f>
        <v>174.39</v>
      </c>
      <c r="N81" s="13">
        <f t="shared" ref="N81:N92" si="130">M81+L81</f>
        <v>957.55</v>
      </c>
      <c r="Q81" s="35"/>
      <c r="X81" s="45">
        <v>0.75</v>
      </c>
      <c r="Y81" s="44">
        <f t="shared" ref="Y81:Y120" si="131">X81*$N81</f>
        <v>718.16249999999991</v>
      </c>
      <c r="Z81" s="45">
        <v>0.25</v>
      </c>
      <c r="AA81" s="44">
        <f t="shared" ref="AA81:AA120" si="132">Z81*$N81</f>
        <v>239.38749999999999</v>
      </c>
      <c r="AC81" s="43">
        <f t="shared" ref="AC81:AC120" si="133">SUM(T81,V81,X81,Z81)</f>
        <v>1</v>
      </c>
      <c r="AD81" s="12">
        <f t="shared" ref="AD81:AD120" si="134">SUM(U81,W81,Y81,AA81)</f>
        <v>957.55</v>
      </c>
      <c r="AE81" s="4" t="str">
        <f t="shared" ref="AE81:AE120" si="135">IF(AD81=N81,"OK","VERIFICAR")</f>
        <v>OK</v>
      </c>
    </row>
    <row r="82" spans="1:31" ht="30" outlineLevel="1" x14ac:dyDescent="0.25">
      <c r="A82" s="18" t="s">
        <v>24</v>
      </c>
      <c r="B82" s="18" t="s">
        <v>127</v>
      </c>
      <c r="C82" s="18" t="s">
        <v>283</v>
      </c>
      <c r="D82" s="25" t="s">
        <v>128</v>
      </c>
      <c r="E82" s="46" t="s">
        <v>9</v>
      </c>
      <c r="F82" s="27">
        <v>6</v>
      </c>
      <c r="G82" s="13">
        <v>11.01</v>
      </c>
      <c r="H82" s="13">
        <v>8.2200000000000006</v>
      </c>
      <c r="I82" s="13">
        <f t="shared" si="126"/>
        <v>19.23</v>
      </c>
      <c r="J82" s="13">
        <f t="shared" si="127"/>
        <v>115.38</v>
      </c>
      <c r="K82" s="20">
        <v>0.27760000000000001</v>
      </c>
      <c r="L82" s="13">
        <f t="shared" si="128"/>
        <v>84.39</v>
      </c>
      <c r="M82" s="13">
        <f t="shared" si="129"/>
        <v>63.01</v>
      </c>
      <c r="N82" s="13">
        <f t="shared" si="130"/>
        <v>147.4</v>
      </c>
      <c r="Q82" s="35"/>
      <c r="X82" s="45">
        <v>0.75</v>
      </c>
      <c r="Y82" s="44">
        <f t="shared" si="131"/>
        <v>110.55000000000001</v>
      </c>
      <c r="Z82" s="45">
        <v>0.25</v>
      </c>
      <c r="AA82" s="44">
        <f t="shared" si="132"/>
        <v>36.85</v>
      </c>
      <c r="AC82" s="43">
        <f t="shared" si="133"/>
        <v>1</v>
      </c>
      <c r="AD82" s="12">
        <f t="shared" si="134"/>
        <v>147.4</v>
      </c>
      <c r="AE82" s="4" t="str">
        <f t="shared" si="135"/>
        <v>OK</v>
      </c>
    </row>
    <row r="83" spans="1:31" ht="30" outlineLevel="1" x14ac:dyDescent="0.25">
      <c r="A83" s="18" t="s">
        <v>24</v>
      </c>
      <c r="B83" s="18" t="s">
        <v>129</v>
      </c>
      <c r="C83" s="18" t="s">
        <v>284</v>
      </c>
      <c r="D83" s="25" t="s">
        <v>130</v>
      </c>
      <c r="E83" s="46" t="s">
        <v>9</v>
      </c>
      <c r="F83" s="27">
        <v>12</v>
      </c>
      <c r="G83" s="13">
        <v>6.51</v>
      </c>
      <c r="H83" s="13">
        <v>5.48</v>
      </c>
      <c r="I83" s="13">
        <f t="shared" si="126"/>
        <v>11.99</v>
      </c>
      <c r="J83" s="13">
        <f t="shared" si="127"/>
        <v>143.88</v>
      </c>
      <c r="K83" s="20">
        <v>0.27760000000000001</v>
      </c>
      <c r="L83" s="13">
        <f t="shared" si="128"/>
        <v>99.8</v>
      </c>
      <c r="M83" s="13">
        <f t="shared" si="129"/>
        <v>84.01</v>
      </c>
      <c r="N83" s="13">
        <f t="shared" si="130"/>
        <v>183.81</v>
      </c>
      <c r="Q83" s="35"/>
      <c r="X83" s="45">
        <v>0.75</v>
      </c>
      <c r="Y83" s="44">
        <f t="shared" si="131"/>
        <v>137.85750000000002</v>
      </c>
      <c r="Z83" s="45">
        <v>0.25</v>
      </c>
      <c r="AA83" s="44">
        <f t="shared" si="132"/>
        <v>45.952500000000001</v>
      </c>
      <c r="AC83" s="43">
        <f t="shared" si="133"/>
        <v>1</v>
      </c>
      <c r="AD83" s="12">
        <f t="shared" si="134"/>
        <v>183.81</v>
      </c>
      <c r="AE83" s="4" t="str">
        <f t="shared" si="135"/>
        <v>OK</v>
      </c>
    </row>
    <row r="84" spans="1:31" ht="30" outlineLevel="1" x14ac:dyDescent="0.25">
      <c r="A84" s="18" t="s">
        <v>24</v>
      </c>
      <c r="B84" s="18" t="s">
        <v>131</v>
      </c>
      <c r="C84" s="18" t="s">
        <v>285</v>
      </c>
      <c r="D84" s="25" t="s">
        <v>132</v>
      </c>
      <c r="E84" s="46" t="s">
        <v>9</v>
      </c>
      <c r="F84" s="27">
        <v>6</v>
      </c>
      <c r="G84" s="13">
        <v>12.56</v>
      </c>
      <c r="H84" s="13">
        <v>0</v>
      </c>
      <c r="I84" s="13">
        <f t="shared" si="126"/>
        <v>12.56</v>
      </c>
      <c r="J84" s="13">
        <f t="shared" si="127"/>
        <v>75.36</v>
      </c>
      <c r="K84" s="20">
        <v>0.27760000000000001</v>
      </c>
      <c r="L84" s="13">
        <f t="shared" si="128"/>
        <v>96.27</v>
      </c>
      <c r="M84" s="13">
        <f t="shared" si="129"/>
        <v>0</v>
      </c>
      <c r="N84" s="13">
        <f t="shared" si="130"/>
        <v>96.27</v>
      </c>
      <c r="Q84" s="35"/>
      <c r="X84" s="45">
        <v>0.75</v>
      </c>
      <c r="Y84" s="44">
        <f t="shared" si="131"/>
        <v>72.202500000000001</v>
      </c>
      <c r="Z84" s="45">
        <v>0.25</v>
      </c>
      <c r="AA84" s="44">
        <f t="shared" si="132"/>
        <v>24.067499999999999</v>
      </c>
      <c r="AC84" s="43">
        <f t="shared" si="133"/>
        <v>1</v>
      </c>
      <c r="AD84" s="12">
        <f t="shared" si="134"/>
        <v>96.27</v>
      </c>
      <c r="AE84" s="4" t="str">
        <f t="shared" si="135"/>
        <v>OK</v>
      </c>
    </row>
    <row r="85" spans="1:31" outlineLevel="1" x14ac:dyDescent="0.25">
      <c r="A85" s="18" t="s">
        <v>24</v>
      </c>
      <c r="B85" s="18" t="s">
        <v>133</v>
      </c>
      <c r="C85" s="18" t="s">
        <v>286</v>
      </c>
      <c r="D85" s="25" t="s">
        <v>134</v>
      </c>
      <c r="E85" s="46" t="s">
        <v>9</v>
      </c>
      <c r="F85" s="27">
        <v>6</v>
      </c>
      <c r="G85" s="13">
        <v>2.04</v>
      </c>
      <c r="H85" s="13">
        <v>0</v>
      </c>
      <c r="I85" s="13">
        <f t="shared" si="126"/>
        <v>2.04</v>
      </c>
      <c r="J85" s="13">
        <f t="shared" si="127"/>
        <v>12.24</v>
      </c>
      <c r="K85" s="20">
        <v>0.27760000000000001</v>
      </c>
      <c r="L85" s="13">
        <f t="shared" si="128"/>
        <v>15.63</v>
      </c>
      <c r="M85" s="13">
        <f t="shared" si="129"/>
        <v>0</v>
      </c>
      <c r="N85" s="13">
        <f t="shared" si="130"/>
        <v>15.63</v>
      </c>
      <c r="Q85" s="35"/>
      <c r="X85" s="45">
        <v>0.75</v>
      </c>
      <c r="Y85" s="44">
        <f t="shared" si="131"/>
        <v>11.7225</v>
      </c>
      <c r="Z85" s="45">
        <v>0.25</v>
      </c>
      <c r="AA85" s="44">
        <f t="shared" si="132"/>
        <v>3.9075000000000002</v>
      </c>
      <c r="AC85" s="43">
        <f t="shared" si="133"/>
        <v>1</v>
      </c>
      <c r="AD85" s="12">
        <f t="shared" si="134"/>
        <v>15.63</v>
      </c>
      <c r="AE85" s="4" t="str">
        <f t="shared" si="135"/>
        <v>OK</v>
      </c>
    </row>
    <row r="86" spans="1:31" outlineLevel="1" x14ac:dyDescent="0.25">
      <c r="A86" s="18" t="s">
        <v>24</v>
      </c>
      <c r="B86" s="18" t="s">
        <v>135</v>
      </c>
      <c r="C86" s="18" t="s">
        <v>287</v>
      </c>
      <c r="D86" s="25" t="s">
        <v>136</v>
      </c>
      <c r="E86" s="46" t="s">
        <v>9</v>
      </c>
      <c r="F86" s="27">
        <v>6</v>
      </c>
      <c r="G86" s="13">
        <v>0.97</v>
      </c>
      <c r="H86" s="13">
        <v>0</v>
      </c>
      <c r="I86" s="13">
        <f t="shared" si="126"/>
        <v>0.97</v>
      </c>
      <c r="J86" s="13">
        <f t="shared" si="127"/>
        <v>5.82</v>
      </c>
      <c r="K86" s="20">
        <v>0.27760000000000001</v>
      </c>
      <c r="L86" s="13">
        <f t="shared" si="128"/>
        <v>7.43</v>
      </c>
      <c r="M86" s="13">
        <f t="shared" si="129"/>
        <v>0</v>
      </c>
      <c r="N86" s="13">
        <f t="shared" si="130"/>
        <v>7.43</v>
      </c>
      <c r="Q86" s="35"/>
      <c r="X86" s="45">
        <v>0.75</v>
      </c>
      <c r="Y86" s="44">
        <f t="shared" si="131"/>
        <v>5.5724999999999998</v>
      </c>
      <c r="Z86" s="45">
        <v>0.25</v>
      </c>
      <c r="AA86" s="44">
        <f t="shared" si="132"/>
        <v>1.8574999999999999</v>
      </c>
      <c r="AC86" s="43">
        <f t="shared" si="133"/>
        <v>1</v>
      </c>
      <c r="AD86" s="12">
        <f t="shared" si="134"/>
        <v>7.43</v>
      </c>
      <c r="AE86" s="4" t="str">
        <f t="shared" si="135"/>
        <v>OK</v>
      </c>
    </row>
    <row r="87" spans="1:31" ht="30" outlineLevel="1" x14ac:dyDescent="0.25">
      <c r="A87" s="18" t="s">
        <v>24</v>
      </c>
      <c r="B87" s="18" t="s">
        <v>137</v>
      </c>
      <c r="C87" s="18" t="s">
        <v>289</v>
      </c>
      <c r="D87" s="25" t="s">
        <v>138</v>
      </c>
      <c r="E87" s="46" t="s">
        <v>9</v>
      </c>
      <c r="F87" s="27">
        <v>3</v>
      </c>
      <c r="G87" s="13">
        <v>22.52</v>
      </c>
      <c r="H87" s="13">
        <v>0</v>
      </c>
      <c r="I87" s="13">
        <f t="shared" si="126"/>
        <v>22.52</v>
      </c>
      <c r="J87" s="13">
        <f t="shared" si="127"/>
        <v>67.56</v>
      </c>
      <c r="K87" s="20">
        <v>0.27760000000000001</v>
      </c>
      <c r="L87" s="13">
        <f t="shared" si="128"/>
        <v>86.31</v>
      </c>
      <c r="M87" s="13">
        <f t="shared" si="129"/>
        <v>0</v>
      </c>
      <c r="N87" s="13">
        <f t="shared" si="130"/>
        <v>86.31</v>
      </c>
      <c r="Q87" s="35"/>
      <c r="X87" s="45">
        <v>0.75</v>
      </c>
      <c r="Y87" s="44">
        <f t="shared" si="131"/>
        <v>64.732500000000002</v>
      </c>
      <c r="Z87" s="45">
        <v>0.25</v>
      </c>
      <c r="AA87" s="44">
        <f t="shared" si="132"/>
        <v>21.577500000000001</v>
      </c>
      <c r="AC87" s="43">
        <f t="shared" si="133"/>
        <v>1</v>
      </c>
      <c r="AD87" s="12">
        <f t="shared" si="134"/>
        <v>86.31</v>
      </c>
      <c r="AE87" s="4" t="str">
        <f t="shared" si="135"/>
        <v>OK</v>
      </c>
    </row>
    <row r="88" spans="1:31" ht="30" outlineLevel="1" x14ac:dyDescent="0.25">
      <c r="A88" s="18" t="s">
        <v>24</v>
      </c>
      <c r="B88" s="18" t="s">
        <v>139</v>
      </c>
      <c r="C88" s="18" t="s">
        <v>290</v>
      </c>
      <c r="D88" s="25" t="s">
        <v>140</v>
      </c>
      <c r="E88" s="46" t="s">
        <v>9</v>
      </c>
      <c r="F88" s="24">
        <v>6</v>
      </c>
      <c r="G88" s="13">
        <v>46.16</v>
      </c>
      <c r="H88" s="13">
        <v>0</v>
      </c>
      <c r="I88" s="13">
        <f t="shared" si="126"/>
        <v>46.16</v>
      </c>
      <c r="J88" s="13">
        <f t="shared" si="127"/>
        <v>276.95999999999998</v>
      </c>
      <c r="K88" s="20">
        <v>0.27760000000000001</v>
      </c>
      <c r="L88" s="13">
        <f t="shared" si="128"/>
        <v>353.84</v>
      </c>
      <c r="M88" s="13">
        <f t="shared" si="129"/>
        <v>0</v>
      </c>
      <c r="N88" s="13">
        <f t="shared" si="130"/>
        <v>353.84</v>
      </c>
      <c r="Q88" s="35"/>
      <c r="X88" s="45">
        <v>0.75</v>
      </c>
      <c r="Y88" s="44">
        <f t="shared" si="131"/>
        <v>265.38</v>
      </c>
      <c r="Z88" s="45">
        <v>0.25</v>
      </c>
      <c r="AA88" s="44">
        <f t="shared" si="132"/>
        <v>88.46</v>
      </c>
      <c r="AC88" s="43">
        <f t="shared" si="133"/>
        <v>1</v>
      </c>
      <c r="AD88" s="12">
        <f t="shared" si="134"/>
        <v>353.84</v>
      </c>
      <c r="AE88" s="4" t="str">
        <f t="shared" si="135"/>
        <v>OK</v>
      </c>
    </row>
    <row r="89" spans="1:31" ht="30" outlineLevel="1" x14ac:dyDescent="0.25">
      <c r="A89" s="18" t="s">
        <v>24</v>
      </c>
      <c r="B89" s="18" t="s">
        <v>141</v>
      </c>
      <c r="C89" s="18" t="s">
        <v>288</v>
      </c>
      <c r="D89" s="19" t="s">
        <v>142</v>
      </c>
      <c r="E89" s="46" t="s">
        <v>9</v>
      </c>
      <c r="F89" s="27">
        <v>1</v>
      </c>
      <c r="G89" s="13">
        <v>63.66</v>
      </c>
      <c r="H89" s="13">
        <v>4.21</v>
      </c>
      <c r="I89" s="13">
        <f t="shared" si="126"/>
        <v>67.86999999999999</v>
      </c>
      <c r="J89" s="13">
        <f t="shared" si="127"/>
        <v>67.87</v>
      </c>
      <c r="K89" s="20">
        <v>0.27760000000000001</v>
      </c>
      <c r="L89" s="13">
        <f t="shared" si="128"/>
        <v>81.33</v>
      </c>
      <c r="M89" s="13">
        <f t="shared" si="129"/>
        <v>5.37</v>
      </c>
      <c r="N89" s="13">
        <f t="shared" si="130"/>
        <v>86.7</v>
      </c>
      <c r="Q89" s="35"/>
      <c r="X89" s="45">
        <v>0.75</v>
      </c>
      <c r="Y89" s="44">
        <f t="shared" si="131"/>
        <v>65.025000000000006</v>
      </c>
      <c r="Z89" s="45">
        <v>0.25</v>
      </c>
      <c r="AA89" s="44">
        <f t="shared" si="132"/>
        <v>21.675000000000001</v>
      </c>
      <c r="AC89" s="43">
        <f t="shared" si="133"/>
        <v>1</v>
      </c>
      <c r="AD89" s="12">
        <f t="shared" si="134"/>
        <v>86.7</v>
      </c>
      <c r="AE89" s="4" t="str">
        <f t="shared" si="135"/>
        <v>OK</v>
      </c>
    </row>
    <row r="90" spans="1:31" ht="30" outlineLevel="1" x14ac:dyDescent="0.25">
      <c r="A90" s="18" t="s">
        <v>24</v>
      </c>
      <c r="B90" s="18" t="s">
        <v>143</v>
      </c>
      <c r="C90" s="18" t="s">
        <v>291</v>
      </c>
      <c r="D90" s="19" t="s">
        <v>144</v>
      </c>
      <c r="E90" s="46" t="s">
        <v>9</v>
      </c>
      <c r="F90" s="27">
        <v>1</v>
      </c>
      <c r="G90" s="13">
        <v>115.39</v>
      </c>
      <c r="H90" s="13">
        <v>0</v>
      </c>
      <c r="I90" s="13">
        <f t="shared" si="126"/>
        <v>115.39</v>
      </c>
      <c r="J90" s="13">
        <f t="shared" si="127"/>
        <v>115.39</v>
      </c>
      <c r="K90" s="20">
        <v>0.27760000000000001</v>
      </c>
      <c r="L90" s="13">
        <f t="shared" si="128"/>
        <v>147.41999999999999</v>
      </c>
      <c r="M90" s="13">
        <f t="shared" si="129"/>
        <v>0</v>
      </c>
      <c r="N90" s="13">
        <f t="shared" si="130"/>
        <v>147.41999999999999</v>
      </c>
      <c r="Q90" s="35"/>
      <c r="X90" s="45">
        <v>0.75</v>
      </c>
      <c r="Y90" s="44">
        <f t="shared" si="131"/>
        <v>110.565</v>
      </c>
      <c r="Z90" s="45">
        <v>0.25</v>
      </c>
      <c r="AA90" s="44">
        <f t="shared" si="132"/>
        <v>36.854999999999997</v>
      </c>
      <c r="AC90" s="43">
        <f t="shared" si="133"/>
        <v>1</v>
      </c>
      <c r="AD90" s="12">
        <f t="shared" si="134"/>
        <v>147.41999999999999</v>
      </c>
      <c r="AE90" s="4" t="str">
        <f t="shared" si="135"/>
        <v>OK</v>
      </c>
    </row>
    <row r="91" spans="1:31" ht="30" outlineLevel="1" x14ac:dyDescent="0.25">
      <c r="A91" s="18" t="s">
        <v>24</v>
      </c>
      <c r="B91" s="18" t="s">
        <v>180</v>
      </c>
      <c r="C91" s="18" t="s">
        <v>247</v>
      </c>
      <c r="D91" s="19" t="s">
        <v>42</v>
      </c>
      <c r="E91" s="46" t="s">
        <v>84</v>
      </c>
      <c r="F91" s="27">
        <v>200</v>
      </c>
      <c r="G91" s="13">
        <v>6.91</v>
      </c>
      <c r="H91" s="13">
        <v>1.62</v>
      </c>
      <c r="I91" s="13">
        <f t="shared" si="126"/>
        <v>8.5300000000000011</v>
      </c>
      <c r="J91" s="13">
        <f t="shared" si="127"/>
        <v>1706</v>
      </c>
      <c r="K91" s="20">
        <v>0.27760000000000001</v>
      </c>
      <c r="L91" s="13">
        <f t="shared" si="128"/>
        <v>1765.64</v>
      </c>
      <c r="M91" s="13">
        <f t="shared" si="129"/>
        <v>413.94</v>
      </c>
      <c r="N91" s="13">
        <f t="shared" si="130"/>
        <v>2179.58</v>
      </c>
      <c r="Q91" s="35"/>
      <c r="X91" s="45">
        <v>0.75</v>
      </c>
      <c r="Y91" s="44">
        <f t="shared" si="131"/>
        <v>1634.6849999999999</v>
      </c>
      <c r="Z91" s="45">
        <v>0.25</v>
      </c>
      <c r="AA91" s="44">
        <f t="shared" si="132"/>
        <v>544.89499999999998</v>
      </c>
      <c r="AC91" s="43">
        <f t="shared" si="133"/>
        <v>1</v>
      </c>
      <c r="AD91" s="12">
        <f t="shared" si="134"/>
        <v>2179.58</v>
      </c>
      <c r="AE91" s="4" t="str">
        <f t="shared" si="135"/>
        <v>OK</v>
      </c>
    </row>
    <row r="92" spans="1:31" ht="30" outlineLevel="1" x14ac:dyDescent="0.25">
      <c r="A92" s="18" t="s">
        <v>24</v>
      </c>
      <c r="B92" s="18" t="s">
        <v>145</v>
      </c>
      <c r="C92" s="18" t="s">
        <v>277</v>
      </c>
      <c r="D92" s="25" t="s">
        <v>105</v>
      </c>
      <c r="E92" s="46" t="s">
        <v>9</v>
      </c>
      <c r="F92" s="24">
        <v>40</v>
      </c>
      <c r="G92" s="13">
        <v>3.41</v>
      </c>
      <c r="H92" s="13">
        <v>0</v>
      </c>
      <c r="I92" s="13">
        <f t="shared" si="126"/>
        <v>3.41</v>
      </c>
      <c r="J92" s="13">
        <f t="shared" si="127"/>
        <v>136.4</v>
      </c>
      <c r="K92" s="20">
        <v>0.27760000000000001</v>
      </c>
      <c r="L92" s="13">
        <f t="shared" si="128"/>
        <v>174.26</v>
      </c>
      <c r="M92" s="13">
        <f t="shared" si="129"/>
        <v>0</v>
      </c>
      <c r="N92" s="13">
        <f t="shared" si="130"/>
        <v>174.26</v>
      </c>
      <c r="Q92" s="35"/>
      <c r="X92" s="45">
        <v>0.75</v>
      </c>
      <c r="Y92" s="44">
        <f t="shared" si="131"/>
        <v>130.69499999999999</v>
      </c>
      <c r="Z92" s="45">
        <v>0.25</v>
      </c>
      <c r="AA92" s="44">
        <f t="shared" si="132"/>
        <v>43.564999999999998</v>
      </c>
      <c r="AC92" s="43">
        <f t="shared" si="133"/>
        <v>1</v>
      </c>
      <c r="AD92" s="12">
        <f t="shared" si="134"/>
        <v>174.26</v>
      </c>
      <c r="AE92" s="4" t="str">
        <f t="shared" si="135"/>
        <v>OK</v>
      </c>
    </row>
    <row r="93" spans="1:31" outlineLevel="1" x14ac:dyDescent="0.25">
      <c r="A93" s="18" t="s">
        <v>24</v>
      </c>
      <c r="B93" s="18" t="s">
        <v>146</v>
      </c>
      <c r="C93" s="18" t="s">
        <v>257</v>
      </c>
      <c r="D93" s="19" t="s">
        <v>262</v>
      </c>
      <c r="E93" s="18" t="s">
        <v>69</v>
      </c>
      <c r="F93" s="16">
        <v>8</v>
      </c>
      <c r="G93" s="13">
        <v>4.5599999999999996</v>
      </c>
      <c r="H93" s="13">
        <v>12.49</v>
      </c>
      <c r="I93" s="13">
        <f t="shared" ref="I93:I120" si="136">G93+H93</f>
        <v>17.05</v>
      </c>
      <c r="J93" s="13">
        <f t="shared" ref="J93:J120" si="137">TRUNC(I93*F93,2)</f>
        <v>136.4</v>
      </c>
      <c r="K93" s="20">
        <v>0.27760000000000001</v>
      </c>
      <c r="L93" s="13">
        <f t="shared" ref="L93:L120" si="138">TRUNC($F93*G93*(1+$K93),2)</f>
        <v>46.6</v>
      </c>
      <c r="M93" s="13">
        <f t="shared" ref="M93:M120" si="139">TRUNC($F93*H93*(1+$K93),2)</f>
        <v>127.65</v>
      </c>
      <c r="N93" s="13">
        <f t="shared" ref="N93:N120" si="140">M93+L93</f>
        <v>174.25</v>
      </c>
      <c r="Q93" s="35"/>
      <c r="X93" s="45">
        <v>0.75</v>
      </c>
      <c r="Y93" s="44">
        <f t="shared" si="131"/>
        <v>130.6875</v>
      </c>
      <c r="Z93" s="45">
        <v>0.25</v>
      </c>
      <c r="AA93" s="44">
        <f t="shared" si="132"/>
        <v>43.5625</v>
      </c>
      <c r="AC93" s="43">
        <f t="shared" si="133"/>
        <v>1</v>
      </c>
      <c r="AD93" s="12">
        <f t="shared" si="134"/>
        <v>174.25</v>
      </c>
      <c r="AE93" s="4" t="str">
        <f t="shared" si="135"/>
        <v>OK</v>
      </c>
    </row>
    <row r="94" spans="1:31" outlineLevel="1" x14ac:dyDescent="0.25">
      <c r="A94" s="18" t="s">
        <v>24</v>
      </c>
      <c r="B94" s="18" t="s">
        <v>147</v>
      </c>
      <c r="C94" s="18" t="s">
        <v>292</v>
      </c>
      <c r="D94" s="19" t="s">
        <v>149</v>
      </c>
      <c r="E94" s="18" t="s">
        <v>150</v>
      </c>
      <c r="F94" s="16">
        <v>2</v>
      </c>
      <c r="G94" s="13">
        <f>0.06+27.72+0.05</f>
        <v>27.83</v>
      </c>
      <c r="H94" s="13">
        <v>17.05</v>
      </c>
      <c r="I94" s="13">
        <f t="shared" si="136"/>
        <v>44.879999999999995</v>
      </c>
      <c r="J94" s="13">
        <f t="shared" si="137"/>
        <v>89.76</v>
      </c>
      <c r="K94" s="20">
        <v>0.27760000000000001</v>
      </c>
      <c r="L94" s="13">
        <f t="shared" si="138"/>
        <v>71.11</v>
      </c>
      <c r="M94" s="13">
        <f t="shared" si="139"/>
        <v>43.56</v>
      </c>
      <c r="N94" s="13">
        <f t="shared" si="140"/>
        <v>114.67</v>
      </c>
      <c r="Q94" s="35"/>
      <c r="X94" s="45">
        <v>0.75</v>
      </c>
      <c r="Y94" s="44">
        <f t="shared" si="131"/>
        <v>86.002499999999998</v>
      </c>
      <c r="Z94" s="45">
        <v>0.25</v>
      </c>
      <c r="AA94" s="44">
        <f t="shared" si="132"/>
        <v>28.6675</v>
      </c>
      <c r="AC94" s="43">
        <f t="shared" si="133"/>
        <v>1</v>
      </c>
      <c r="AD94" s="12">
        <f t="shared" si="134"/>
        <v>114.67</v>
      </c>
      <c r="AE94" s="4" t="str">
        <f t="shared" si="135"/>
        <v>OK</v>
      </c>
    </row>
    <row r="95" spans="1:31" ht="30" outlineLevel="1" x14ac:dyDescent="0.25">
      <c r="A95" s="18" t="s">
        <v>24</v>
      </c>
      <c r="B95" s="18" t="s">
        <v>181</v>
      </c>
      <c r="C95" s="18" t="s">
        <v>293</v>
      </c>
      <c r="D95" s="19" t="s">
        <v>151</v>
      </c>
      <c r="E95" s="47" t="s">
        <v>152</v>
      </c>
      <c r="F95" s="16">
        <v>0.154</v>
      </c>
      <c r="G95" s="13">
        <v>18.86</v>
      </c>
      <c r="H95" s="13">
        <v>42.78</v>
      </c>
      <c r="I95" s="13">
        <f t="shared" si="136"/>
        <v>61.64</v>
      </c>
      <c r="J95" s="13">
        <f t="shared" si="137"/>
        <v>9.49</v>
      </c>
      <c r="K95" s="20">
        <v>0.27760000000000001</v>
      </c>
      <c r="L95" s="13">
        <f t="shared" si="138"/>
        <v>3.71</v>
      </c>
      <c r="M95" s="13">
        <f t="shared" si="139"/>
        <v>8.41</v>
      </c>
      <c r="N95" s="13">
        <f t="shared" si="140"/>
        <v>12.120000000000001</v>
      </c>
      <c r="Q95" s="35"/>
      <c r="X95" s="45">
        <v>0.75</v>
      </c>
      <c r="Y95" s="44">
        <f t="shared" si="131"/>
        <v>9.09</v>
      </c>
      <c r="Z95" s="45">
        <v>0.25</v>
      </c>
      <c r="AA95" s="44">
        <f t="shared" si="132"/>
        <v>3.0300000000000002</v>
      </c>
      <c r="AC95" s="43">
        <f t="shared" si="133"/>
        <v>1</v>
      </c>
      <c r="AD95" s="12">
        <f t="shared" si="134"/>
        <v>12.120000000000001</v>
      </c>
      <c r="AE95" s="4" t="str">
        <f t="shared" si="135"/>
        <v>OK</v>
      </c>
    </row>
    <row r="96" spans="1:31" ht="15.75" outlineLevel="1" x14ac:dyDescent="0.25">
      <c r="A96" s="18" t="s">
        <v>24</v>
      </c>
      <c r="B96" s="18" t="s">
        <v>182</v>
      </c>
      <c r="C96" s="18" t="s">
        <v>294</v>
      </c>
      <c r="D96" s="19" t="s">
        <v>153</v>
      </c>
      <c r="E96" s="47" t="s">
        <v>152</v>
      </c>
      <c r="F96" s="16">
        <v>0.32</v>
      </c>
      <c r="G96" s="13">
        <v>24.89</v>
      </c>
      <c r="H96" s="13">
        <v>56.09</v>
      </c>
      <c r="I96" s="13">
        <f t="shared" si="136"/>
        <v>80.98</v>
      </c>
      <c r="J96" s="13">
        <f t="shared" si="137"/>
        <v>25.91</v>
      </c>
      <c r="K96" s="20">
        <v>0.27760000000000001</v>
      </c>
      <c r="L96" s="13">
        <f t="shared" si="138"/>
        <v>10.17</v>
      </c>
      <c r="M96" s="13">
        <f t="shared" si="139"/>
        <v>22.93</v>
      </c>
      <c r="N96" s="13">
        <f t="shared" si="140"/>
        <v>33.1</v>
      </c>
      <c r="Q96" s="35"/>
      <c r="X96" s="45">
        <v>0.75</v>
      </c>
      <c r="Y96" s="44">
        <f t="shared" si="131"/>
        <v>24.825000000000003</v>
      </c>
      <c r="Z96" s="45">
        <v>0.25</v>
      </c>
      <c r="AA96" s="44">
        <f t="shared" si="132"/>
        <v>8.2750000000000004</v>
      </c>
      <c r="AC96" s="43">
        <f t="shared" si="133"/>
        <v>1</v>
      </c>
      <c r="AD96" s="12">
        <f t="shared" si="134"/>
        <v>33.1</v>
      </c>
      <c r="AE96" s="4" t="str">
        <f t="shared" si="135"/>
        <v>OK</v>
      </c>
    </row>
    <row r="97" spans="1:31" ht="45" outlineLevel="1" x14ac:dyDescent="0.25">
      <c r="A97" s="18" t="s">
        <v>24</v>
      </c>
      <c r="B97" s="18" t="s">
        <v>183</v>
      </c>
      <c r="C97" s="18" t="s">
        <v>295</v>
      </c>
      <c r="D97" s="19" t="s">
        <v>154</v>
      </c>
      <c r="E97" s="18" t="s">
        <v>81</v>
      </c>
      <c r="F97" s="16">
        <v>18.96</v>
      </c>
      <c r="G97" s="13">
        <v>8.1199999999999992</v>
      </c>
      <c r="H97" s="13">
        <v>2.04</v>
      </c>
      <c r="I97" s="13">
        <f t="shared" si="136"/>
        <v>10.16</v>
      </c>
      <c r="J97" s="13">
        <f t="shared" si="137"/>
        <v>192.63</v>
      </c>
      <c r="K97" s="20">
        <v>0.27760000000000001</v>
      </c>
      <c r="L97" s="13">
        <f t="shared" si="138"/>
        <v>196.69</v>
      </c>
      <c r="M97" s="13">
        <f t="shared" si="139"/>
        <v>49.41</v>
      </c>
      <c r="N97" s="13">
        <f t="shared" si="140"/>
        <v>246.1</v>
      </c>
      <c r="Q97" s="35"/>
      <c r="X97" s="45">
        <v>0.75</v>
      </c>
      <c r="Y97" s="44">
        <f t="shared" si="131"/>
        <v>184.57499999999999</v>
      </c>
      <c r="Z97" s="45">
        <v>0.25</v>
      </c>
      <c r="AA97" s="44">
        <f t="shared" si="132"/>
        <v>61.524999999999999</v>
      </c>
      <c r="AC97" s="43">
        <f t="shared" si="133"/>
        <v>1</v>
      </c>
      <c r="AD97" s="12">
        <f t="shared" si="134"/>
        <v>246.1</v>
      </c>
      <c r="AE97" s="4" t="str">
        <f t="shared" si="135"/>
        <v>OK</v>
      </c>
    </row>
    <row r="98" spans="1:31" ht="45" outlineLevel="1" x14ac:dyDescent="0.25">
      <c r="A98" s="18" t="s">
        <v>24</v>
      </c>
      <c r="B98" s="18" t="s">
        <v>184</v>
      </c>
      <c r="C98" s="18" t="s">
        <v>296</v>
      </c>
      <c r="D98" s="19" t="s">
        <v>155</v>
      </c>
      <c r="E98" s="47" t="s">
        <v>152</v>
      </c>
      <c r="F98" s="16">
        <v>0.05</v>
      </c>
      <c r="G98" s="13">
        <f>0.64+334.18+0.62</f>
        <v>335.44</v>
      </c>
      <c r="H98" s="13">
        <v>96.3</v>
      </c>
      <c r="I98" s="13">
        <f t="shared" si="136"/>
        <v>431.74</v>
      </c>
      <c r="J98" s="13">
        <f t="shared" si="137"/>
        <v>21.58</v>
      </c>
      <c r="K98" s="20">
        <v>0.27760000000000001</v>
      </c>
      <c r="L98" s="13">
        <f t="shared" si="138"/>
        <v>21.42</v>
      </c>
      <c r="M98" s="13">
        <f t="shared" si="139"/>
        <v>6.15</v>
      </c>
      <c r="N98" s="13">
        <f t="shared" si="140"/>
        <v>27.57</v>
      </c>
      <c r="Q98" s="35"/>
      <c r="X98" s="45">
        <v>0.75</v>
      </c>
      <c r="Y98" s="44">
        <f t="shared" si="131"/>
        <v>20.677500000000002</v>
      </c>
      <c r="Z98" s="45">
        <v>0.25</v>
      </c>
      <c r="AA98" s="44">
        <f t="shared" si="132"/>
        <v>6.8925000000000001</v>
      </c>
      <c r="AC98" s="43">
        <f t="shared" si="133"/>
        <v>1</v>
      </c>
      <c r="AD98" s="12">
        <f t="shared" si="134"/>
        <v>27.57</v>
      </c>
      <c r="AE98" s="4" t="str">
        <f t="shared" si="135"/>
        <v>OK</v>
      </c>
    </row>
    <row r="99" spans="1:31" ht="30" outlineLevel="1" x14ac:dyDescent="0.25">
      <c r="A99" s="18" t="s">
        <v>24</v>
      </c>
      <c r="B99" s="18" t="s">
        <v>185</v>
      </c>
      <c r="C99" s="18" t="s">
        <v>297</v>
      </c>
      <c r="D99" s="19" t="s">
        <v>156</v>
      </c>
      <c r="E99" s="47" t="s">
        <v>157</v>
      </c>
      <c r="F99" s="16">
        <v>10.65</v>
      </c>
      <c r="G99" s="13">
        <v>57.23</v>
      </c>
      <c r="H99" s="13">
        <v>26.59</v>
      </c>
      <c r="I99" s="13">
        <f t="shared" si="136"/>
        <v>83.82</v>
      </c>
      <c r="J99" s="13">
        <f t="shared" si="137"/>
        <v>892.68</v>
      </c>
      <c r="K99" s="20">
        <v>0.27760000000000001</v>
      </c>
      <c r="L99" s="13">
        <f t="shared" si="138"/>
        <v>778.69</v>
      </c>
      <c r="M99" s="13">
        <f t="shared" si="139"/>
        <v>361.79</v>
      </c>
      <c r="N99" s="13">
        <f t="shared" si="140"/>
        <v>1140.48</v>
      </c>
      <c r="Q99" s="35"/>
      <c r="X99" s="45">
        <v>0.75</v>
      </c>
      <c r="Y99" s="44">
        <f t="shared" si="131"/>
        <v>855.36</v>
      </c>
      <c r="Z99" s="45">
        <v>0.25</v>
      </c>
      <c r="AA99" s="44">
        <f t="shared" si="132"/>
        <v>285.12</v>
      </c>
      <c r="AC99" s="43">
        <f t="shared" si="133"/>
        <v>1</v>
      </c>
      <c r="AD99" s="12">
        <f t="shared" si="134"/>
        <v>1140.48</v>
      </c>
      <c r="AE99" s="4" t="str">
        <f t="shared" si="135"/>
        <v>OK</v>
      </c>
    </row>
    <row r="100" spans="1:31" ht="45" outlineLevel="1" x14ac:dyDescent="0.25">
      <c r="A100" s="18" t="s">
        <v>24</v>
      </c>
      <c r="B100" s="18" t="s">
        <v>186</v>
      </c>
      <c r="C100" s="18" t="s">
        <v>298</v>
      </c>
      <c r="D100" s="19" t="s">
        <v>158</v>
      </c>
      <c r="E100" s="47" t="s">
        <v>157</v>
      </c>
      <c r="F100" s="16">
        <f>5*1.7</f>
        <v>8.5</v>
      </c>
      <c r="G100" s="13">
        <f>0.03+51.83+0.04</f>
        <v>51.9</v>
      </c>
      <c r="H100" s="13">
        <v>14.88</v>
      </c>
      <c r="I100" s="13">
        <f t="shared" si="136"/>
        <v>66.78</v>
      </c>
      <c r="J100" s="13">
        <f t="shared" si="137"/>
        <v>567.63</v>
      </c>
      <c r="K100" s="20">
        <v>0.27760000000000001</v>
      </c>
      <c r="L100" s="13">
        <f t="shared" si="138"/>
        <v>563.61</v>
      </c>
      <c r="M100" s="13">
        <f t="shared" si="139"/>
        <v>161.59</v>
      </c>
      <c r="N100" s="13">
        <f t="shared" si="140"/>
        <v>725.2</v>
      </c>
      <c r="Q100" s="35"/>
      <c r="X100" s="45">
        <v>0.75</v>
      </c>
      <c r="Y100" s="44">
        <f t="shared" si="131"/>
        <v>543.90000000000009</v>
      </c>
      <c r="Z100" s="45">
        <v>0.25</v>
      </c>
      <c r="AA100" s="44">
        <f t="shared" si="132"/>
        <v>181.3</v>
      </c>
      <c r="AC100" s="43">
        <f t="shared" si="133"/>
        <v>1</v>
      </c>
      <c r="AD100" s="12">
        <f t="shared" si="134"/>
        <v>725.2</v>
      </c>
      <c r="AE100" s="4" t="str">
        <f t="shared" si="135"/>
        <v>OK</v>
      </c>
    </row>
    <row r="101" spans="1:31" ht="45" outlineLevel="1" x14ac:dyDescent="0.25">
      <c r="A101" s="18" t="s">
        <v>24</v>
      </c>
      <c r="B101" s="18" t="s">
        <v>187</v>
      </c>
      <c r="C101" s="18" t="s">
        <v>299</v>
      </c>
      <c r="D101" s="19" t="s">
        <v>159</v>
      </c>
      <c r="E101" s="47" t="s">
        <v>152</v>
      </c>
      <c r="F101" s="16">
        <v>0.32</v>
      </c>
      <c r="G101" s="13">
        <f>0.43+340.79+0.57</f>
        <v>341.79</v>
      </c>
      <c r="H101" s="13">
        <v>135.94999999999999</v>
      </c>
      <c r="I101" s="13">
        <f t="shared" si="136"/>
        <v>477.74</v>
      </c>
      <c r="J101" s="13">
        <f t="shared" si="137"/>
        <v>152.87</v>
      </c>
      <c r="K101" s="20">
        <v>0.27760000000000001</v>
      </c>
      <c r="L101" s="13">
        <f t="shared" si="138"/>
        <v>139.72999999999999</v>
      </c>
      <c r="M101" s="13">
        <f t="shared" si="139"/>
        <v>55.58</v>
      </c>
      <c r="N101" s="13">
        <f t="shared" si="140"/>
        <v>195.31</v>
      </c>
      <c r="Q101" s="35"/>
      <c r="X101" s="45">
        <v>0.75</v>
      </c>
      <c r="Y101" s="44">
        <f t="shared" si="131"/>
        <v>146.48250000000002</v>
      </c>
      <c r="Z101" s="45">
        <v>0.25</v>
      </c>
      <c r="AA101" s="44">
        <f t="shared" si="132"/>
        <v>48.827500000000001</v>
      </c>
      <c r="AC101" s="43">
        <f t="shared" si="133"/>
        <v>1</v>
      </c>
      <c r="AD101" s="12">
        <f t="shared" si="134"/>
        <v>195.31</v>
      </c>
      <c r="AE101" s="4" t="str">
        <f t="shared" si="135"/>
        <v>OK</v>
      </c>
    </row>
    <row r="102" spans="1:31" ht="30" outlineLevel="1" x14ac:dyDescent="0.25">
      <c r="A102" s="18" t="s">
        <v>24</v>
      </c>
      <c r="B102" s="18" t="s">
        <v>188</v>
      </c>
      <c r="C102" s="18" t="s">
        <v>300</v>
      </c>
      <c r="D102" s="19" t="s">
        <v>160</v>
      </c>
      <c r="E102" s="47" t="s">
        <v>157</v>
      </c>
      <c r="F102" s="16">
        <v>1.28</v>
      </c>
      <c r="G102" s="13">
        <f>62.1+0.15</f>
        <v>62.25</v>
      </c>
      <c r="H102" s="13">
        <v>31.34</v>
      </c>
      <c r="I102" s="13">
        <f t="shared" si="136"/>
        <v>93.59</v>
      </c>
      <c r="J102" s="13">
        <f t="shared" si="137"/>
        <v>119.79</v>
      </c>
      <c r="K102" s="20">
        <v>0.27760000000000001</v>
      </c>
      <c r="L102" s="13">
        <f t="shared" si="138"/>
        <v>101.79</v>
      </c>
      <c r="M102" s="13">
        <f t="shared" si="139"/>
        <v>51.25</v>
      </c>
      <c r="N102" s="13">
        <f t="shared" si="140"/>
        <v>153.04000000000002</v>
      </c>
      <c r="Q102" s="35"/>
      <c r="X102" s="45">
        <v>0.75</v>
      </c>
      <c r="Y102" s="44">
        <f t="shared" si="131"/>
        <v>114.78000000000002</v>
      </c>
      <c r="Z102" s="45">
        <v>0.25</v>
      </c>
      <c r="AA102" s="44">
        <f t="shared" si="132"/>
        <v>38.260000000000005</v>
      </c>
      <c r="AC102" s="43">
        <f t="shared" si="133"/>
        <v>1</v>
      </c>
      <c r="AD102" s="12">
        <f t="shared" si="134"/>
        <v>153.04000000000002</v>
      </c>
      <c r="AE102" s="4" t="str">
        <f t="shared" si="135"/>
        <v>OK</v>
      </c>
    </row>
    <row r="103" spans="1:31" ht="30" outlineLevel="1" x14ac:dyDescent="0.25">
      <c r="A103" s="18" t="s">
        <v>24</v>
      </c>
      <c r="B103" s="18" t="s">
        <v>189</v>
      </c>
      <c r="C103" s="18" t="s">
        <v>301</v>
      </c>
      <c r="D103" s="19" t="s">
        <v>161</v>
      </c>
      <c r="E103" s="18" t="s">
        <v>81</v>
      </c>
      <c r="F103" s="16">
        <v>66.36</v>
      </c>
      <c r="G103" s="13">
        <v>8.14</v>
      </c>
      <c r="H103" s="13">
        <v>2.02</v>
      </c>
      <c r="I103" s="13">
        <f t="shared" si="136"/>
        <v>10.16</v>
      </c>
      <c r="J103" s="13">
        <f t="shared" si="137"/>
        <v>674.21</v>
      </c>
      <c r="K103" s="20">
        <v>0.27760000000000001</v>
      </c>
      <c r="L103" s="13">
        <f t="shared" si="138"/>
        <v>690.12</v>
      </c>
      <c r="M103" s="13">
        <f t="shared" si="139"/>
        <v>171.25</v>
      </c>
      <c r="N103" s="13">
        <f t="shared" si="140"/>
        <v>861.37</v>
      </c>
      <c r="Q103" s="35"/>
      <c r="X103" s="45">
        <v>0.75</v>
      </c>
      <c r="Y103" s="44">
        <f t="shared" si="131"/>
        <v>646.02750000000003</v>
      </c>
      <c r="Z103" s="45">
        <v>0.25</v>
      </c>
      <c r="AA103" s="44">
        <f t="shared" si="132"/>
        <v>215.3425</v>
      </c>
      <c r="AC103" s="43">
        <f t="shared" si="133"/>
        <v>1</v>
      </c>
      <c r="AD103" s="12">
        <f t="shared" si="134"/>
        <v>861.37</v>
      </c>
      <c r="AE103" s="4" t="str">
        <f t="shared" si="135"/>
        <v>OK</v>
      </c>
    </row>
    <row r="104" spans="1:31" ht="45" outlineLevel="1" x14ac:dyDescent="0.25">
      <c r="A104" s="18" t="s">
        <v>24</v>
      </c>
      <c r="B104" s="18" t="s">
        <v>190</v>
      </c>
      <c r="C104" s="18" t="s">
        <v>299</v>
      </c>
      <c r="D104" s="19" t="s">
        <v>162</v>
      </c>
      <c r="E104" s="18" t="s">
        <v>152</v>
      </c>
      <c r="F104" s="16">
        <f>5*1.6*0.05</f>
        <v>0.4</v>
      </c>
      <c r="G104" s="13">
        <f>0.43+340.79+0.57</f>
        <v>341.79</v>
      </c>
      <c r="H104" s="13">
        <v>135.94999999999999</v>
      </c>
      <c r="I104" s="13">
        <f t="shared" si="136"/>
        <v>477.74</v>
      </c>
      <c r="J104" s="13">
        <f t="shared" si="137"/>
        <v>191.09</v>
      </c>
      <c r="K104" s="20">
        <v>0.27760000000000001</v>
      </c>
      <c r="L104" s="13">
        <f t="shared" si="138"/>
        <v>174.66</v>
      </c>
      <c r="M104" s="13">
        <f t="shared" si="139"/>
        <v>69.47</v>
      </c>
      <c r="N104" s="13">
        <f t="shared" si="140"/>
        <v>244.13</v>
      </c>
      <c r="Q104" s="35"/>
      <c r="X104" s="45">
        <v>0.75</v>
      </c>
      <c r="Y104" s="44">
        <f t="shared" si="131"/>
        <v>183.0975</v>
      </c>
      <c r="Z104" s="45">
        <v>0.25</v>
      </c>
      <c r="AA104" s="44">
        <f t="shared" si="132"/>
        <v>61.032499999999999</v>
      </c>
      <c r="AC104" s="43">
        <f t="shared" si="133"/>
        <v>1</v>
      </c>
      <c r="AD104" s="12">
        <f t="shared" si="134"/>
        <v>244.13</v>
      </c>
      <c r="AE104" s="4" t="str">
        <f t="shared" si="135"/>
        <v>OK</v>
      </c>
    </row>
    <row r="105" spans="1:31" ht="30" outlineLevel="1" x14ac:dyDescent="0.25">
      <c r="A105" s="18" t="s">
        <v>24</v>
      </c>
      <c r="B105" s="18" t="s">
        <v>191</v>
      </c>
      <c r="C105" s="18" t="s">
        <v>302</v>
      </c>
      <c r="D105" s="19" t="s">
        <v>163</v>
      </c>
      <c r="E105" s="47" t="s">
        <v>152</v>
      </c>
      <c r="F105" s="16">
        <v>0.128</v>
      </c>
      <c r="G105" s="13">
        <f>2.34+330.04+1.65</f>
        <v>334.03</v>
      </c>
      <c r="H105" s="13">
        <v>93.52</v>
      </c>
      <c r="I105" s="13">
        <f t="shared" si="136"/>
        <v>427.54999999999995</v>
      </c>
      <c r="J105" s="13">
        <f t="shared" si="137"/>
        <v>54.72</v>
      </c>
      <c r="K105" s="20">
        <v>0.27760000000000001</v>
      </c>
      <c r="L105" s="13">
        <f t="shared" si="138"/>
        <v>54.62</v>
      </c>
      <c r="M105" s="13">
        <f t="shared" si="139"/>
        <v>15.29</v>
      </c>
      <c r="N105" s="13">
        <f t="shared" si="140"/>
        <v>69.91</v>
      </c>
      <c r="Q105" s="35"/>
      <c r="X105" s="45">
        <v>0.75</v>
      </c>
      <c r="Y105" s="44">
        <f t="shared" si="131"/>
        <v>52.432499999999997</v>
      </c>
      <c r="Z105" s="45">
        <v>0.25</v>
      </c>
      <c r="AA105" s="44">
        <f t="shared" si="132"/>
        <v>17.477499999999999</v>
      </c>
      <c r="AC105" s="43">
        <f t="shared" si="133"/>
        <v>1</v>
      </c>
      <c r="AD105" s="12">
        <f t="shared" si="134"/>
        <v>69.91</v>
      </c>
      <c r="AE105" s="4" t="str">
        <f t="shared" si="135"/>
        <v>OK</v>
      </c>
    </row>
    <row r="106" spans="1:31" ht="45" outlineLevel="1" x14ac:dyDescent="0.25">
      <c r="A106" s="18" t="s">
        <v>24</v>
      </c>
      <c r="B106" s="18" t="s">
        <v>192</v>
      </c>
      <c r="C106" s="18" t="s">
        <v>303</v>
      </c>
      <c r="D106" s="19" t="s">
        <v>164</v>
      </c>
      <c r="E106" s="47" t="s">
        <v>157</v>
      </c>
      <c r="F106" s="16">
        <v>8.9499999999999993</v>
      </c>
      <c r="G106" s="13">
        <v>37.29</v>
      </c>
      <c r="H106" s="13">
        <v>15.77</v>
      </c>
      <c r="I106" s="13">
        <f t="shared" si="136"/>
        <v>53.06</v>
      </c>
      <c r="J106" s="13">
        <f t="shared" si="137"/>
        <v>474.88</v>
      </c>
      <c r="K106" s="20">
        <v>0.27760000000000001</v>
      </c>
      <c r="L106" s="13">
        <f t="shared" si="138"/>
        <v>426.39</v>
      </c>
      <c r="M106" s="13">
        <f t="shared" si="139"/>
        <v>180.32</v>
      </c>
      <c r="N106" s="13">
        <f t="shared" si="140"/>
        <v>606.71</v>
      </c>
      <c r="Q106" s="35"/>
      <c r="X106" s="45">
        <v>0.75</v>
      </c>
      <c r="Y106" s="44">
        <f t="shared" si="131"/>
        <v>455.03250000000003</v>
      </c>
      <c r="Z106" s="45">
        <v>0.25</v>
      </c>
      <c r="AA106" s="44">
        <f t="shared" si="132"/>
        <v>151.67750000000001</v>
      </c>
      <c r="AC106" s="43">
        <f t="shared" si="133"/>
        <v>1</v>
      </c>
      <c r="AD106" s="12">
        <f t="shared" si="134"/>
        <v>606.71</v>
      </c>
      <c r="AE106" s="4" t="str">
        <f t="shared" si="135"/>
        <v>OK</v>
      </c>
    </row>
    <row r="107" spans="1:31" ht="30" outlineLevel="1" x14ac:dyDescent="0.25">
      <c r="A107" s="18" t="s">
        <v>24</v>
      </c>
      <c r="B107" s="18" t="s">
        <v>193</v>
      </c>
      <c r="C107" s="18" t="s">
        <v>304</v>
      </c>
      <c r="D107" s="19" t="s">
        <v>165</v>
      </c>
      <c r="E107" s="47" t="s">
        <v>157</v>
      </c>
      <c r="F107" s="16">
        <f>3.4*2*2.3</f>
        <v>15.639999999999999</v>
      </c>
      <c r="G107" s="13">
        <v>1.45</v>
      </c>
      <c r="H107" s="13">
        <v>1.21</v>
      </c>
      <c r="I107" s="13">
        <f t="shared" si="136"/>
        <v>2.66</v>
      </c>
      <c r="J107" s="13">
        <f t="shared" si="137"/>
        <v>41.6</v>
      </c>
      <c r="K107" s="20">
        <v>0.27760000000000001</v>
      </c>
      <c r="L107" s="13">
        <f t="shared" si="138"/>
        <v>28.97</v>
      </c>
      <c r="M107" s="13">
        <f t="shared" si="139"/>
        <v>24.17</v>
      </c>
      <c r="N107" s="13">
        <f t="shared" si="140"/>
        <v>53.14</v>
      </c>
      <c r="Q107" s="35"/>
      <c r="X107" s="45">
        <v>0.75</v>
      </c>
      <c r="Y107" s="44">
        <f t="shared" si="131"/>
        <v>39.855000000000004</v>
      </c>
      <c r="Z107" s="45">
        <v>0.25</v>
      </c>
      <c r="AA107" s="44">
        <f t="shared" si="132"/>
        <v>13.285</v>
      </c>
      <c r="AC107" s="43">
        <f t="shared" si="133"/>
        <v>1</v>
      </c>
      <c r="AD107" s="12">
        <f t="shared" si="134"/>
        <v>53.14</v>
      </c>
      <c r="AE107" s="4" t="str">
        <f t="shared" si="135"/>
        <v>OK</v>
      </c>
    </row>
    <row r="108" spans="1:31" ht="45" outlineLevel="1" x14ac:dyDescent="0.25">
      <c r="A108" s="18" t="s">
        <v>24</v>
      </c>
      <c r="B108" s="18" t="s">
        <v>194</v>
      </c>
      <c r="C108" s="18" t="s">
        <v>305</v>
      </c>
      <c r="D108" s="19" t="s">
        <v>166</v>
      </c>
      <c r="E108" s="47" t="s">
        <v>157</v>
      </c>
      <c r="F108" s="16">
        <f>3.4*2*2.3</f>
        <v>15.639999999999999</v>
      </c>
      <c r="G108" s="13">
        <v>18.690000000000001</v>
      </c>
      <c r="H108" s="13">
        <v>20.04</v>
      </c>
      <c r="I108" s="13">
        <f t="shared" si="136"/>
        <v>38.730000000000004</v>
      </c>
      <c r="J108" s="13">
        <f t="shared" si="137"/>
        <v>605.73</v>
      </c>
      <c r="K108" s="20">
        <v>0.27760000000000001</v>
      </c>
      <c r="L108" s="13">
        <f t="shared" si="138"/>
        <v>373.45</v>
      </c>
      <c r="M108" s="13">
        <f t="shared" si="139"/>
        <v>400.43</v>
      </c>
      <c r="N108" s="13">
        <f t="shared" si="140"/>
        <v>773.88</v>
      </c>
      <c r="Q108" s="35"/>
      <c r="X108" s="45">
        <v>0.75</v>
      </c>
      <c r="Y108" s="44">
        <f t="shared" si="131"/>
        <v>580.41</v>
      </c>
      <c r="Z108" s="45">
        <v>0.25</v>
      </c>
      <c r="AA108" s="44">
        <f t="shared" si="132"/>
        <v>193.47</v>
      </c>
      <c r="AC108" s="43">
        <f t="shared" si="133"/>
        <v>1</v>
      </c>
      <c r="AD108" s="12">
        <f t="shared" si="134"/>
        <v>773.88</v>
      </c>
      <c r="AE108" s="4" t="str">
        <f t="shared" si="135"/>
        <v>OK</v>
      </c>
    </row>
    <row r="109" spans="1:31" ht="30" outlineLevel="1" x14ac:dyDescent="0.25">
      <c r="A109" s="18" t="s">
        <v>24</v>
      </c>
      <c r="B109" s="18" t="s">
        <v>195</v>
      </c>
      <c r="C109" s="18" t="s">
        <v>306</v>
      </c>
      <c r="D109" s="19" t="s">
        <v>167</v>
      </c>
      <c r="E109" s="47" t="s">
        <v>152</v>
      </c>
      <c r="F109" s="16">
        <v>0.64</v>
      </c>
      <c r="G109" s="13">
        <f>0.48+323.43+0.7</f>
        <v>324.61</v>
      </c>
      <c r="H109" s="13">
        <v>123</v>
      </c>
      <c r="I109" s="13">
        <f t="shared" si="136"/>
        <v>447.61</v>
      </c>
      <c r="J109" s="13">
        <f t="shared" si="137"/>
        <v>286.47000000000003</v>
      </c>
      <c r="K109" s="20">
        <v>0.27760000000000001</v>
      </c>
      <c r="L109" s="13">
        <f t="shared" si="138"/>
        <v>265.42</v>
      </c>
      <c r="M109" s="13">
        <f t="shared" si="139"/>
        <v>100.57</v>
      </c>
      <c r="N109" s="13">
        <f t="shared" si="140"/>
        <v>365.99</v>
      </c>
      <c r="Q109" s="35"/>
      <c r="X109" s="45">
        <v>0.75</v>
      </c>
      <c r="Y109" s="44">
        <f t="shared" si="131"/>
        <v>274.49250000000001</v>
      </c>
      <c r="Z109" s="45">
        <v>0.25</v>
      </c>
      <c r="AA109" s="44">
        <f t="shared" si="132"/>
        <v>91.497500000000002</v>
      </c>
      <c r="AC109" s="43">
        <f t="shared" si="133"/>
        <v>1</v>
      </c>
      <c r="AD109" s="12">
        <f t="shared" si="134"/>
        <v>365.99</v>
      </c>
      <c r="AE109" s="4" t="str">
        <f t="shared" si="135"/>
        <v>OK</v>
      </c>
    </row>
    <row r="110" spans="1:31" ht="30" outlineLevel="1" x14ac:dyDescent="0.25">
      <c r="A110" s="18" t="s">
        <v>24</v>
      </c>
      <c r="B110" s="18" t="s">
        <v>196</v>
      </c>
      <c r="C110" s="18" t="s">
        <v>307</v>
      </c>
      <c r="D110" s="19" t="s">
        <v>168</v>
      </c>
      <c r="E110" s="47" t="s">
        <v>157</v>
      </c>
      <c r="F110" s="16">
        <v>6.02</v>
      </c>
      <c r="G110" s="13">
        <f>0.02+15.02+0.02</f>
        <v>15.059999999999999</v>
      </c>
      <c r="H110" s="13">
        <v>8.01</v>
      </c>
      <c r="I110" s="13">
        <f t="shared" si="136"/>
        <v>23.07</v>
      </c>
      <c r="J110" s="13">
        <f t="shared" si="137"/>
        <v>138.88</v>
      </c>
      <c r="K110" s="20">
        <v>0.27760000000000001</v>
      </c>
      <c r="L110" s="13">
        <f t="shared" si="138"/>
        <v>115.82</v>
      </c>
      <c r="M110" s="13">
        <f t="shared" si="139"/>
        <v>61.6</v>
      </c>
      <c r="N110" s="13">
        <f t="shared" si="140"/>
        <v>177.42</v>
      </c>
      <c r="Q110" s="35"/>
      <c r="X110" s="45">
        <v>0.75</v>
      </c>
      <c r="Y110" s="44">
        <f t="shared" si="131"/>
        <v>133.065</v>
      </c>
      <c r="Z110" s="45">
        <v>0.25</v>
      </c>
      <c r="AA110" s="44">
        <f t="shared" si="132"/>
        <v>44.354999999999997</v>
      </c>
      <c r="AC110" s="43">
        <f t="shared" si="133"/>
        <v>1</v>
      </c>
      <c r="AD110" s="12">
        <f t="shared" si="134"/>
        <v>177.42</v>
      </c>
      <c r="AE110" s="4" t="str">
        <f t="shared" si="135"/>
        <v>OK</v>
      </c>
    </row>
    <row r="111" spans="1:31" ht="30" outlineLevel="1" x14ac:dyDescent="0.25">
      <c r="A111" s="18" t="s">
        <v>24</v>
      </c>
      <c r="B111" s="18" t="s">
        <v>197</v>
      </c>
      <c r="C111" s="18" t="s">
        <v>308</v>
      </c>
      <c r="D111" s="19" t="s">
        <v>169</v>
      </c>
      <c r="E111" s="18" t="s">
        <v>150</v>
      </c>
      <c r="F111" s="16">
        <v>1</v>
      </c>
      <c r="G111" s="13">
        <v>22.94</v>
      </c>
      <c r="H111" s="13">
        <v>11.58</v>
      </c>
      <c r="I111" s="13">
        <f t="shared" si="136"/>
        <v>34.520000000000003</v>
      </c>
      <c r="J111" s="13">
        <f t="shared" si="137"/>
        <v>34.520000000000003</v>
      </c>
      <c r="K111" s="20">
        <v>0.27760000000000001</v>
      </c>
      <c r="L111" s="13">
        <f t="shared" si="138"/>
        <v>29.3</v>
      </c>
      <c r="M111" s="13">
        <f t="shared" si="139"/>
        <v>14.79</v>
      </c>
      <c r="N111" s="13">
        <f t="shared" si="140"/>
        <v>44.09</v>
      </c>
      <c r="Q111" s="35"/>
      <c r="X111" s="45">
        <v>0.75</v>
      </c>
      <c r="Y111" s="44">
        <f t="shared" si="131"/>
        <v>33.067500000000003</v>
      </c>
      <c r="Z111" s="45">
        <v>0.25</v>
      </c>
      <c r="AA111" s="44">
        <f t="shared" si="132"/>
        <v>11.022500000000001</v>
      </c>
      <c r="AC111" s="43">
        <f t="shared" si="133"/>
        <v>1</v>
      </c>
      <c r="AD111" s="12">
        <f t="shared" si="134"/>
        <v>44.09</v>
      </c>
      <c r="AE111" s="4" t="str">
        <f t="shared" si="135"/>
        <v>OK</v>
      </c>
    </row>
    <row r="112" spans="1:31" ht="30" outlineLevel="1" x14ac:dyDescent="0.25">
      <c r="A112" s="18" t="s">
        <v>24</v>
      </c>
      <c r="B112" s="18" t="s">
        <v>198</v>
      </c>
      <c r="C112" s="18" t="s">
        <v>309</v>
      </c>
      <c r="D112" s="19" t="s">
        <v>170</v>
      </c>
      <c r="E112" s="18" t="s">
        <v>150</v>
      </c>
      <c r="F112" s="16">
        <v>1</v>
      </c>
      <c r="G112" s="13">
        <v>69.45</v>
      </c>
      <c r="H112" s="13">
        <v>7.58</v>
      </c>
      <c r="I112" s="13">
        <f t="shared" si="136"/>
        <v>77.03</v>
      </c>
      <c r="J112" s="13">
        <f t="shared" si="137"/>
        <v>77.03</v>
      </c>
      <c r="K112" s="20">
        <v>0.27760000000000001</v>
      </c>
      <c r="L112" s="13">
        <f t="shared" si="138"/>
        <v>88.72</v>
      </c>
      <c r="M112" s="13">
        <f t="shared" si="139"/>
        <v>9.68</v>
      </c>
      <c r="N112" s="13">
        <f t="shared" si="140"/>
        <v>98.4</v>
      </c>
      <c r="Q112" s="35"/>
      <c r="X112" s="45">
        <v>0.75</v>
      </c>
      <c r="Y112" s="44">
        <f t="shared" si="131"/>
        <v>73.800000000000011</v>
      </c>
      <c r="Z112" s="45">
        <v>0.25</v>
      </c>
      <c r="AA112" s="44">
        <f t="shared" si="132"/>
        <v>24.6</v>
      </c>
      <c r="AC112" s="43">
        <f t="shared" si="133"/>
        <v>1</v>
      </c>
      <c r="AD112" s="12">
        <f t="shared" si="134"/>
        <v>98.4</v>
      </c>
      <c r="AE112" s="4" t="str">
        <f t="shared" si="135"/>
        <v>OK</v>
      </c>
    </row>
    <row r="113" spans="1:31" ht="30" outlineLevel="1" x14ac:dyDescent="0.25">
      <c r="A113" s="18" t="s">
        <v>24</v>
      </c>
      <c r="B113" s="18" t="s">
        <v>199</v>
      </c>
      <c r="C113" s="18" t="s">
        <v>412</v>
      </c>
      <c r="D113" s="19" t="s">
        <v>413</v>
      </c>
      <c r="E113" s="18" t="s">
        <v>150</v>
      </c>
      <c r="F113" s="16">
        <v>5.5</v>
      </c>
      <c r="G113" s="13">
        <v>526.66</v>
      </c>
      <c r="H113" s="13">
        <v>136.22</v>
      </c>
      <c r="I113" s="13">
        <f t="shared" si="136"/>
        <v>662.88</v>
      </c>
      <c r="J113" s="13">
        <f t="shared" si="137"/>
        <v>3645.84</v>
      </c>
      <c r="K113" s="20">
        <v>0.27760000000000001</v>
      </c>
      <c r="L113" s="13">
        <f t="shared" si="138"/>
        <v>3700.73</v>
      </c>
      <c r="M113" s="13">
        <f t="shared" si="139"/>
        <v>957.19</v>
      </c>
      <c r="N113" s="13">
        <f t="shared" si="140"/>
        <v>4657.92</v>
      </c>
      <c r="Q113" s="35"/>
      <c r="X113" s="45">
        <v>0.75</v>
      </c>
      <c r="Y113" s="44">
        <f t="shared" si="131"/>
        <v>3493.44</v>
      </c>
      <c r="Z113" s="45">
        <v>0.25</v>
      </c>
      <c r="AA113" s="44">
        <f t="shared" si="132"/>
        <v>1164.48</v>
      </c>
      <c r="AC113" s="43">
        <f t="shared" si="133"/>
        <v>1</v>
      </c>
      <c r="AD113" s="12">
        <f t="shared" si="134"/>
        <v>4657.92</v>
      </c>
      <c r="AE113" s="4" t="str">
        <f t="shared" si="135"/>
        <v>OK</v>
      </c>
    </row>
    <row r="114" spans="1:31" ht="30" outlineLevel="1" x14ac:dyDescent="0.25">
      <c r="A114" s="18" t="s">
        <v>24</v>
      </c>
      <c r="B114" s="18" t="s">
        <v>200</v>
      </c>
      <c r="C114" s="18" t="s">
        <v>310</v>
      </c>
      <c r="D114" s="19" t="s">
        <v>171</v>
      </c>
      <c r="E114" s="18" t="s">
        <v>17</v>
      </c>
      <c r="F114" s="16">
        <v>50</v>
      </c>
      <c r="G114" s="13">
        <v>4.66</v>
      </c>
      <c r="H114" s="13">
        <v>2.69</v>
      </c>
      <c r="I114" s="13">
        <f t="shared" si="136"/>
        <v>7.35</v>
      </c>
      <c r="J114" s="13">
        <f t="shared" si="137"/>
        <v>367.5</v>
      </c>
      <c r="K114" s="20">
        <v>0.27760000000000001</v>
      </c>
      <c r="L114" s="13">
        <f t="shared" si="138"/>
        <v>297.68</v>
      </c>
      <c r="M114" s="13">
        <f t="shared" si="139"/>
        <v>171.83</v>
      </c>
      <c r="N114" s="13">
        <f t="shared" si="140"/>
        <v>469.51</v>
      </c>
      <c r="Q114" s="35"/>
      <c r="X114" s="45">
        <v>0.75</v>
      </c>
      <c r="Y114" s="44">
        <f t="shared" si="131"/>
        <v>352.13249999999999</v>
      </c>
      <c r="Z114" s="45">
        <v>0.25</v>
      </c>
      <c r="AA114" s="44">
        <f t="shared" si="132"/>
        <v>117.3775</v>
      </c>
      <c r="AC114" s="43">
        <f t="shared" si="133"/>
        <v>1</v>
      </c>
      <c r="AD114" s="12">
        <f t="shared" si="134"/>
        <v>469.51</v>
      </c>
      <c r="AE114" s="4" t="str">
        <f t="shared" si="135"/>
        <v>OK</v>
      </c>
    </row>
    <row r="115" spans="1:31" ht="30" outlineLevel="1" x14ac:dyDescent="0.25">
      <c r="A115" s="18" t="s">
        <v>24</v>
      </c>
      <c r="B115" s="18" t="s">
        <v>201</v>
      </c>
      <c r="C115" s="18" t="s">
        <v>311</v>
      </c>
      <c r="D115" s="19" t="s">
        <v>172</v>
      </c>
      <c r="E115" s="18" t="s">
        <v>17</v>
      </c>
      <c r="F115" s="16">
        <v>100</v>
      </c>
      <c r="G115" s="13">
        <v>1.61</v>
      </c>
      <c r="H115" s="13">
        <v>0.63</v>
      </c>
      <c r="I115" s="13">
        <f t="shared" si="136"/>
        <v>2.2400000000000002</v>
      </c>
      <c r="J115" s="13">
        <f t="shared" si="137"/>
        <v>224</v>
      </c>
      <c r="K115" s="20">
        <v>0.27760000000000001</v>
      </c>
      <c r="L115" s="13">
        <f t="shared" si="138"/>
        <v>205.69</v>
      </c>
      <c r="M115" s="13">
        <f t="shared" si="139"/>
        <v>80.48</v>
      </c>
      <c r="N115" s="13">
        <f t="shared" si="140"/>
        <v>286.17</v>
      </c>
      <c r="Q115" s="35"/>
      <c r="X115" s="45">
        <v>0.75</v>
      </c>
      <c r="Y115" s="44">
        <f t="shared" si="131"/>
        <v>214.6275</v>
      </c>
      <c r="Z115" s="45">
        <v>0.25</v>
      </c>
      <c r="AA115" s="44">
        <f t="shared" si="132"/>
        <v>71.542500000000004</v>
      </c>
      <c r="AC115" s="43">
        <f t="shared" si="133"/>
        <v>1</v>
      </c>
      <c r="AD115" s="12">
        <f t="shared" si="134"/>
        <v>286.17</v>
      </c>
      <c r="AE115" s="4" t="str">
        <f t="shared" si="135"/>
        <v>OK</v>
      </c>
    </row>
    <row r="116" spans="1:31" outlineLevel="1" x14ac:dyDescent="0.25">
      <c r="A116" s="18" t="s">
        <v>24</v>
      </c>
      <c r="B116" s="18" t="s">
        <v>202</v>
      </c>
      <c r="C116" s="18" t="s">
        <v>312</v>
      </c>
      <c r="D116" s="19" t="s">
        <v>173</v>
      </c>
      <c r="E116" s="18" t="s">
        <v>157</v>
      </c>
      <c r="F116" s="16">
        <v>30</v>
      </c>
      <c r="G116" s="13">
        <v>2.16</v>
      </c>
      <c r="H116" s="13">
        <v>0.41</v>
      </c>
      <c r="I116" s="13">
        <f t="shared" si="136"/>
        <v>2.5700000000000003</v>
      </c>
      <c r="J116" s="13">
        <f t="shared" si="137"/>
        <v>77.099999999999994</v>
      </c>
      <c r="K116" s="20">
        <v>0.27760000000000001</v>
      </c>
      <c r="L116" s="13">
        <f t="shared" si="138"/>
        <v>82.78</v>
      </c>
      <c r="M116" s="13">
        <f t="shared" si="139"/>
        <v>15.71</v>
      </c>
      <c r="N116" s="13">
        <f t="shared" si="140"/>
        <v>98.490000000000009</v>
      </c>
      <c r="Q116" s="35"/>
      <c r="X116" s="45">
        <v>0.75</v>
      </c>
      <c r="Y116" s="44">
        <f t="shared" si="131"/>
        <v>73.867500000000007</v>
      </c>
      <c r="Z116" s="45">
        <v>0.25</v>
      </c>
      <c r="AA116" s="44">
        <f t="shared" si="132"/>
        <v>24.622500000000002</v>
      </c>
      <c r="AC116" s="43">
        <f t="shared" si="133"/>
        <v>1</v>
      </c>
      <c r="AD116" s="12">
        <f t="shared" si="134"/>
        <v>98.490000000000009</v>
      </c>
      <c r="AE116" s="4" t="str">
        <f t="shared" si="135"/>
        <v>OK</v>
      </c>
    </row>
    <row r="117" spans="1:31" ht="30" outlineLevel="1" x14ac:dyDescent="0.25">
      <c r="A117" s="18" t="s">
        <v>24</v>
      </c>
      <c r="B117" s="18" t="s">
        <v>203</v>
      </c>
      <c r="C117" s="18" t="s">
        <v>313</v>
      </c>
      <c r="D117" s="19" t="s">
        <v>174</v>
      </c>
      <c r="E117" s="18" t="s">
        <v>157</v>
      </c>
      <c r="F117" s="16">
        <v>15.84</v>
      </c>
      <c r="G117" s="13">
        <v>11.28</v>
      </c>
      <c r="H117" s="13">
        <v>3.57</v>
      </c>
      <c r="I117" s="13">
        <f t="shared" si="136"/>
        <v>14.85</v>
      </c>
      <c r="J117" s="13">
        <f t="shared" si="137"/>
        <v>235.22</v>
      </c>
      <c r="K117" s="20">
        <v>0.27760000000000001</v>
      </c>
      <c r="L117" s="13">
        <f t="shared" si="138"/>
        <v>228.27</v>
      </c>
      <c r="M117" s="13">
        <f t="shared" si="139"/>
        <v>72.239999999999995</v>
      </c>
      <c r="N117" s="13">
        <f t="shared" si="140"/>
        <v>300.51</v>
      </c>
      <c r="Q117" s="35"/>
      <c r="X117" s="45">
        <v>0.75</v>
      </c>
      <c r="Y117" s="44">
        <f t="shared" si="131"/>
        <v>225.38249999999999</v>
      </c>
      <c r="Z117" s="45">
        <v>0.25</v>
      </c>
      <c r="AA117" s="44">
        <f t="shared" si="132"/>
        <v>75.127499999999998</v>
      </c>
      <c r="AC117" s="43">
        <f t="shared" si="133"/>
        <v>1</v>
      </c>
      <c r="AD117" s="12">
        <f t="shared" si="134"/>
        <v>300.51</v>
      </c>
      <c r="AE117" s="4" t="str">
        <f t="shared" si="135"/>
        <v>OK</v>
      </c>
    </row>
    <row r="118" spans="1:31" outlineLevel="1" x14ac:dyDescent="0.25">
      <c r="A118" s="18" t="s">
        <v>24</v>
      </c>
      <c r="B118" s="18" t="s">
        <v>204</v>
      </c>
      <c r="C118" s="18" t="s">
        <v>314</v>
      </c>
      <c r="D118" s="19" t="s">
        <v>175</v>
      </c>
      <c r="E118" s="18" t="s">
        <v>157</v>
      </c>
      <c r="F118" s="16">
        <v>30</v>
      </c>
      <c r="G118" s="13">
        <v>7.79</v>
      </c>
      <c r="H118" s="13">
        <v>2.95</v>
      </c>
      <c r="I118" s="13">
        <f t="shared" si="136"/>
        <v>10.74</v>
      </c>
      <c r="J118" s="13">
        <f t="shared" si="137"/>
        <v>322.2</v>
      </c>
      <c r="K118" s="20">
        <v>0.27760000000000001</v>
      </c>
      <c r="L118" s="13">
        <f t="shared" si="138"/>
        <v>298.57</v>
      </c>
      <c r="M118" s="13">
        <f t="shared" si="139"/>
        <v>113.06</v>
      </c>
      <c r="N118" s="13">
        <f t="shared" si="140"/>
        <v>411.63</v>
      </c>
      <c r="Q118" s="35"/>
      <c r="X118" s="45">
        <v>0.75</v>
      </c>
      <c r="Y118" s="44">
        <f t="shared" si="131"/>
        <v>308.72249999999997</v>
      </c>
      <c r="Z118" s="45">
        <v>0.25</v>
      </c>
      <c r="AA118" s="44">
        <f t="shared" si="132"/>
        <v>102.9075</v>
      </c>
      <c r="AC118" s="43">
        <f t="shared" si="133"/>
        <v>1</v>
      </c>
      <c r="AD118" s="12">
        <f t="shared" si="134"/>
        <v>411.63</v>
      </c>
      <c r="AE118" s="4" t="str">
        <f t="shared" si="135"/>
        <v>OK</v>
      </c>
    </row>
    <row r="119" spans="1:31" ht="45" outlineLevel="1" x14ac:dyDescent="0.25">
      <c r="A119" s="18" t="s">
        <v>24</v>
      </c>
      <c r="B119" s="18" t="s">
        <v>205</v>
      </c>
      <c r="C119" s="18" t="s">
        <v>315</v>
      </c>
      <c r="D119" s="19" t="s">
        <v>176</v>
      </c>
      <c r="E119" s="18" t="s">
        <v>157</v>
      </c>
      <c r="F119" s="16">
        <v>10.61</v>
      </c>
      <c r="G119" s="13">
        <v>4.7</v>
      </c>
      <c r="H119" s="13">
        <v>3.69</v>
      </c>
      <c r="I119" s="13">
        <f t="shared" si="136"/>
        <v>8.39</v>
      </c>
      <c r="J119" s="13">
        <f t="shared" si="137"/>
        <v>89.01</v>
      </c>
      <c r="K119" s="20">
        <v>0.27760000000000001</v>
      </c>
      <c r="L119" s="13">
        <f t="shared" si="138"/>
        <v>63.71</v>
      </c>
      <c r="M119" s="13">
        <f t="shared" si="139"/>
        <v>50.01</v>
      </c>
      <c r="N119" s="13">
        <f t="shared" si="140"/>
        <v>113.72</v>
      </c>
      <c r="Q119" s="35"/>
      <c r="X119" s="45">
        <v>0.75</v>
      </c>
      <c r="Y119" s="44">
        <f t="shared" si="131"/>
        <v>85.289999999999992</v>
      </c>
      <c r="Z119" s="45">
        <v>0.25</v>
      </c>
      <c r="AA119" s="44">
        <f t="shared" si="132"/>
        <v>28.43</v>
      </c>
      <c r="AC119" s="43">
        <f t="shared" si="133"/>
        <v>1</v>
      </c>
      <c r="AD119" s="12">
        <f t="shared" si="134"/>
        <v>113.72</v>
      </c>
      <c r="AE119" s="4" t="str">
        <f t="shared" si="135"/>
        <v>OK</v>
      </c>
    </row>
    <row r="120" spans="1:31" ht="30" outlineLevel="1" x14ac:dyDescent="0.25">
      <c r="A120" s="18" t="s">
        <v>24</v>
      </c>
      <c r="B120" s="18" t="s">
        <v>206</v>
      </c>
      <c r="C120" s="18" t="s">
        <v>316</v>
      </c>
      <c r="D120" s="19" t="s">
        <v>177</v>
      </c>
      <c r="E120" s="18" t="s">
        <v>178</v>
      </c>
      <c r="F120" s="16">
        <v>8.5</v>
      </c>
      <c r="G120" s="13">
        <v>108.07</v>
      </c>
      <c r="H120" s="13">
        <v>40.86</v>
      </c>
      <c r="I120" s="13">
        <f t="shared" si="136"/>
        <v>148.93</v>
      </c>
      <c r="J120" s="13">
        <f t="shared" si="137"/>
        <v>1265.9000000000001</v>
      </c>
      <c r="K120" s="20">
        <v>0.27760000000000001</v>
      </c>
      <c r="L120" s="13">
        <f t="shared" si="138"/>
        <v>1173.5899999999999</v>
      </c>
      <c r="M120" s="13">
        <f t="shared" si="139"/>
        <v>443.72</v>
      </c>
      <c r="N120" s="13">
        <f t="shared" si="140"/>
        <v>1617.31</v>
      </c>
      <c r="Q120" s="35"/>
      <c r="X120" s="45">
        <v>0.75</v>
      </c>
      <c r="Y120" s="44">
        <f t="shared" si="131"/>
        <v>1212.9825000000001</v>
      </c>
      <c r="Z120" s="45">
        <v>0.25</v>
      </c>
      <c r="AA120" s="44">
        <f t="shared" si="132"/>
        <v>404.32749999999999</v>
      </c>
      <c r="AC120" s="43">
        <f t="shared" si="133"/>
        <v>1</v>
      </c>
      <c r="AD120" s="12">
        <f t="shared" si="134"/>
        <v>1617.31</v>
      </c>
      <c r="AE120" s="4" t="str">
        <f t="shared" si="135"/>
        <v>OK</v>
      </c>
    </row>
    <row r="121" spans="1:31" x14ac:dyDescent="0.25">
      <c r="D121" s="28"/>
    </row>
    <row r="122" spans="1:31" x14ac:dyDescent="0.25">
      <c r="A122" s="5" t="s">
        <v>336</v>
      </c>
      <c r="B122" s="6"/>
      <c r="C122" s="6"/>
      <c r="D122" s="29"/>
      <c r="E122" s="6"/>
      <c r="F122" s="7"/>
      <c r="G122" s="7"/>
      <c r="H122" s="7"/>
      <c r="I122" s="8"/>
      <c r="J122" s="8"/>
      <c r="K122" s="8"/>
      <c r="L122" s="8"/>
      <c r="M122" s="8"/>
      <c r="N122" s="8">
        <f>SUM(N123)</f>
        <v>64650.96</v>
      </c>
      <c r="P122" s="35">
        <f>N122/$N$171</f>
        <v>0.18861562186201433</v>
      </c>
      <c r="Q122" s="35"/>
      <c r="T122" s="58">
        <f>U122/$N$171</f>
        <v>0</v>
      </c>
      <c r="U122" s="8">
        <f>SUM(U123)</f>
        <v>0</v>
      </c>
      <c r="V122" s="58">
        <f>W122/$N$171</f>
        <v>0</v>
      </c>
      <c r="W122" s="8">
        <f>SUM(W123)</f>
        <v>0</v>
      </c>
      <c r="X122" s="58">
        <f>Y122/$N$171</f>
        <v>0.18861562186201433</v>
      </c>
      <c r="Y122" s="8">
        <f>SUM(Y123)</f>
        <v>64650.96</v>
      </c>
      <c r="Z122" s="58">
        <f>AA122/$N$171</f>
        <v>0</v>
      </c>
      <c r="AA122" s="8">
        <f>SUM(AA123)</f>
        <v>0</v>
      </c>
      <c r="AC122" s="5"/>
      <c r="AD122" s="12">
        <f t="shared" ref="AD122" si="141">SUM(U122,W122,Y122,AA122)</f>
        <v>64650.96</v>
      </c>
      <c r="AE122" s="4" t="str">
        <f t="shared" ref="AE122" si="142">IF(AD122=N122,"OK","VERIFICAR")</f>
        <v>OK</v>
      </c>
    </row>
    <row r="123" spans="1:31" ht="57.75" outlineLevel="1" x14ac:dyDescent="0.25">
      <c r="A123" s="18" t="s">
        <v>6</v>
      </c>
      <c r="B123" s="18" t="s">
        <v>207</v>
      </c>
      <c r="C123" s="18" t="s">
        <v>8</v>
      </c>
      <c r="D123" s="19" t="s">
        <v>440</v>
      </c>
      <c r="E123" s="16" t="s">
        <v>208</v>
      </c>
      <c r="F123" s="16">
        <v>1</v>
      </c>
      <c r="G123" s="13">
        <f>AVERAGE(59400,52890)</f>
        <v>56145</v>
      </c>
      <c r="H123" s="13">
        <v>0</v>
      </c>
      <c r="I123" s="13">
        <f t="shared" ref="I123" si="143">G123+H123</f>
        <v>56145</v>
      </c>
      <c r="J123" s="13">
        <f t="shared" ref="J123" si="144">TRUNC(I123*F123,2)</f>
        <v>56145</v>
      </c>
      <c r="K123" s="32">
        <v>0.1515</v>
      </c>
      <c r="L123" s="13">
        <f t="shared" ref="L123" si="145">TRUNC($F123*G123*(1+$K123),2)</f>
        <v>64650.96</v>
      </c>
      <c r="M123" s="13">
        <f t="shared" ref="M123" si="146">TRUNC($F123*H123*(1+$K123),2)</f>
        <v>0</v>
      </c>
      <c r="N123" s="13">
        <f t="shared" ref="N123" si="147">M123+L123</f>
        <v>64650.96</v>
      </c>
      <c r="P123" s="35"/>
      <c r="Q123" s="35">
        <f>N123/$N$171</f>
        <v>0.18861562186201433</v>
      </c>
      <c r="X123" s="45">
        <v>1</v>
      </c>
      <c r="Y123" s="44">
        <f>X123*$N123</f>
        <v>64650.96</v>
      </c>
      <c r="AC123" s="43">
        <f t="shared" ref="AC123" si="148">SUM(T123,V123,X123,Z123)</f>
        <v>1</v>
      </c>
      <c r="AD123" s="12">
        <f>SUM(U123,W123,Y123,AA123)</f>
        <v>64650.96</v>
      </c>
      <c r="AE123" s="4" t="str">
        <f>IF(AD123=N123,"OK","VERIFICAR")</f>
        <v>OK</v>
      </c>
    </row>
    <row r="124" spans="1:31" x14ac:dyDescent="0.25">
      <c r="D124" s="28"/>
    </row>
    <row r="125" spans="1:31" x14ac:dyDescent="0.25">
      <c r="A125" s="5" t="s">
        <v>335</v>
      </c>
      <c r="B125" s="6"/>
      <c r="C125" s="6"/>
      <c r="D125" s="29"/>
      <c r="E125" s="6"/>
      <c r="F125" s="7"/>
      <c r="G125" s="7"/>
      <c r="H125" s="7"/>
      <c r="I125" s="8"/>
      <c r="J125" s="8"/>
      <c r="K125" s="8"/>
      <c r="L125" s="8"/>
      <c r="M125" s="8"/>
      <c r="N125" s="8">
        <f>SUM(N126:N156)</f>
        <v>15652.800000000003</v>
      </c>
      <c r="P125" s="35">
        <f>N125/$N$171</f>
        <v>4.5666183547494708E-2</v>
      </c>
      <c r="Q125" s="35">
        <f>N125/$N$171</f>
        <v>4.5666183547494708E-2</v>
      </c>
      <c r="T125" s="58">
        <f>U125/$N$171</f>
        <v>0</v>
      </c>
      <c r="U125" s="8">
        <f>SUM(U126:U156)</f>
        <v>0</v>
      </c>
      <c r="V125" s="58">
        <f>W125/$N$171</f>
        <v>3.2190504959262694E-3</v>
      </c>
      <c r="W125" s="8">
        <f>SUM(W126:W156)</f>
        <v>1103.3800000000001</v>
      </c>
      <c r="X125" s="58">
        <f>Y125/$N$171</f>
        <v>2.6855628511455072E-2</v>
      </c>
      <c r="Y125" s="8">
        <f>SUM(Y126:Y156)</f>
        <v>9205.1875000000018</v>
      </c>
      <c r="Z125" s="58">
        <f>AA125/$N$171</f>
        <v>1.5591504540113365E-2</v>
      </c>
      <c r="AA125" s="8">
        <f>SUM(AA126:AA156)</f>
        <v>5344.2325000000001</v>
      </c>
      <c r="AC125" s="5"/>
      <c r="AD125" s="12">
        <f t="shared" ref="AD125" si="149">SUM(U125,W125,Y125,AA125)</f>
        <v>15652.800000000001</v>
      </c>
      <c r="AE125" s="4" t="str">
        <f t="shared" ref="AE125" si="150">IF(AD125=N125,"OK","VERIFICAR")</f>
        <v>OK</v>
      </c>
    </row>
    <row r="126" spans="1:31" ht="30" outlineLevel="1" x14ac:dyDescent="0.25">
      <c r="A126" s="18" t="s">
        <v>24</v>
      </c>
      <c r="B126" s="18" t="s">
        <v>337</v>
      </c>
      <c r="C126" s="18" t="s">
        <v>317</v>
      </c>
      <c r="D126" s="19" t="s">
        <v>209</v>
      </c>
      <c r="E126" s="16" t="s">
        <v>152</v>
      </c>
      <c r="F126" s="16">
        <v>0.72</v>
      </c>
      <c r="G126" s="13">
        <v>11.27</v>
      </c>
      <c r="H126" s="13">
        <v>24.2</v>
      </c>
      <c r="I126" s="13">
        <f t="shared" ref="I126" si="151">G126+H126</f>
        <v>35.47</v>
      </c>
      <c r="J126" s="13">
        <f t="shared" ref="J126" si="152">TRUNC(I126*F126,2)</f>
        <v>25.53</v>
      </c>
      <c r="K126" s="20">
        <v>0.27760000000000001</v>
      </c>
      <c r="L126" s="13">
        <f t="shared" ref="L126" si="153">TRUNC($F126*G126*(1+$K126),2)</f>
        <v>10.36</v>
      </c>
      <c r="M126" s="13">
        <f t="shared" ref="M126" si="154">TRUNC($F126*H126*(1+$K126),2)</f>
        <v>22.26</v>
      </c>
      <c r="N126" s="13">
        <f t="shared" ref="N126" si="155">M126+L126</f>
        <v>32.620000000000005</v>
      </c>
      <c r="X126" s="45">
        <v>1</v>
      </c>
      <c r="Y126" s="44">
        <f>X126*$N126</f>
        <v>32.620000000000005</v>
      </c>
      <c r="AC126" s="43">
        <f t="shared" ref="AC126:AC156" si="156">SUM(T126,V126,X126,Z126)</f>
        <v>1</v>
      </c>
      <c r="AD126" s="12">
        <f t="shared" ref="AD126:AD155" si="157">SUM(U126,W126,Y126,AA126)</f>
        <v>32.620000000000005</v>
      </c>
      <c r="AE126" s="4" t="str">
        <f t="shared" ref="AE126:AE155" si="158">IF(AD126=N126,"OK","VERIFICAR")</f>
        <v>OK</v>
      </c>
    </row>
    <row r="127" spans="1:31" outlineLevel="1" x14ac:dyDescent="0.25">
      <c r="A127" s="18" t="s">
        <v>24</v>
      </c>
      <c r="B127" s="18" t="s">
        <v>338</v>
      </c>
      <c r="C127" s="18" t="s">
        <v>318</v>
      </c>
      <c r="D127" s="19" t="s">
        <v>210</v>
      </c>
      <c r="E127" s="16" t="s">
        <v>157</v>
      </c>
      <c r="F127" s="16">
        <f>2.5*15</f>
        <v>37.5</v>
      </c>
      <c r="G127" s="13">
        <f>48.71+0.01</f>
        <v>48.72</v>
      </c>
      <c r="H127" s="13">
        <v>9.31</v>
      </c>
      <c r="I127" s="13">
        <f t="shared" ref="I127:I144" si="159">G127+H127</f>
        <v>58.03</v>
      </c>
      <c r="J127" s="13">
        <f t="shared" ref="J127:J144" si="160">TRUNC(I127*F127,2)</f>
        <v>2176.12</v>
      </c>
      <c r="K127" s="20">
        <v>0.27760000000000001</v>
      </c>
      <c r="L127" s="13">
        <f t="shared" ref="L127:L144" si="161">TRUNC($F127*G127*(1+$K127),2)</f>
        <v>2334.17</v>
      </c>
      <c r="M127" s="13">
        <f t="shared" ref="M127:M144" si="162">TRUNC($F127*H127*(1+$K127),2)</f>
        <v>446.04</v>
      </c>
      <c r="N127" s="13">
        <f t="shared" ref="N127:N144" si="163">M127+L127</f>
        <v>2780.21</v>
      </c>
      <c r="X127" s="45">
        <v>1</v>
      </c>
      <c r="Y127" s="44">
        <f>X127*$N127</f>
        <v>2780.21</v>
      </c>
      <c r="AC127" s="43">
        <f t="shared" si="156"/>
        <v>1</v>
      </c>
      <c r="AD127" s="12">
        <f t="shared" si="157"/>
        <v>2780.21</v>
      </c>
      <c r="AE127" s="4" t="str">
        <f t="shared" si="158"/>
        <v>OK</v>
      </c>
    </row>
    <row r="128" spans="1:31" ht="30" outlineLevel="1" x14ac:dyDescent="0.25">
      <c r="A128" s="18" t="s">
        <v>24</v>
      </c>
      <c r="B128" s="18" t="s">
        <v>339</v>
      </c>
      <c r="C128" s="18" t="s">
        <v>319</v>
      </c>
      <c r="D128" s="19" t="s">
        <v>211</v>
      </c>
      <c r="E128" s="16" t="s">
        <v>212</v>
      </c>
      <c r="F128" s="16">
        <v>12</v>
      </c>
      <c r="G128" s="13">
        <v>4.5199999999999996</v>
      </c>
      <c r="H128" s="13">
        <v>9.15</v>
      </c>
      <c r="I128" s="13">
        <f t="shared" si="159"/>
        <v>13.67</v>
      </c>
      <c r="J128" s="13">
        <f t="shared" si="160"/>
        <v>164.04</v>
      </c>
      <c r="K128" s="20">
        <v>0.27760000000000001</v>
      </c>
      <c r="L128" s="13">
        <f t="shared" si="161"/>
        <v>69.290000000000006</v>
      </c>
      <c r="M128" s="13">
        <f t="shared" si="162"/>
        <v>140.28</v>
      </c>
      <c r="N128" s="13">
        <f t="shared" si="163"/>
        <v>209.57</v>
      </c>
      <c r="X128" s="45">
        <v>1</v>
      </c>
      <c r="Y128" s="44">
        <f t="shared" ref="Y128:Y138" si="164">X128*$N128</f>
        <v>209.57</v>
      </c>
      <c r="AC128" s="43">
        <f t="shared" si="156"/>
        <v>1</v>
      </c>
      <c r="AD128" s="12">
        <f t="shared" si="157"/>
        <v>209.57</v>
      </c>
      <c r="AE128" s="4" t="str">
        <f t="shared" si="158"/>
        <v>OK</v>
      </c>
    </row>
    <row r="129" spans="1:31" ht="30" outlineLevel="1" x14ac:dyDescent="0.25">
      <c r="A129" s="18" t="s">
        <v>24</v>
      </c>
      <c r="B129" s="18" t="s">
        <v>340</v>
      </c>
      <c r="C129" s="18" t="s">
        <v>320</v>
      </c>
      <c r="D129" s="19" t="s">
        <v>213</v>
      </c>
      <c r="E129" s="16" t="s">
        <v>212</v>
      </c>
      <c r="F129" s="16">
        <v>12</v>
      </c>
      <c r="G129" s="13">
        <v>4.5199999999999996</v>
      </c>
      <c r="H129" s="13">
        <v>12.24</v>
      </c>
      <c r="I129" s="13">
        <f t="shared" si="159"/>
        <v>16.759999999999998</v>
      </c>
      <c r="J129" s="13">
        <f t="shared" si="160"/>
        <v>201.12</v>
      </c>
      <c r="K129" s="20">
        <v>0.27760000000000001</v>
      </c>
      <c r="L129" s="13">
        <f t="shared" si="161"/>
        <v>69.290000000000006</v>
      </c>
      <c r="M129" s="13">
        <f t="shared" si="162"/>
        <v>187.65</v>
      </c>
      <c r="N129" s="13">
        <f t="shared" si="163"/>
        <v>256.94</v>
      </c>
      <c r="X129" s="45">
        <v>1</v>
      </c>
      <c r="Y129" s="44">
        <f t="shared" si="164"/>
        <v>256.94</v>
      </c>
      <c r="AC129" s="43">
        <f t="shared" si="156"/>
        <v>1</v>
      </c>
      <c r="AD129" s="12">
        <f t="shared" si="157"/>
        <v>256.94</v>
      </c>
      <c r="AE129" s="4" t="str">
        <f t="shared" si="158"/>
        <v>OK</v>
      </c>
    </row>
    <row r="130" spans="1:31" ht="30" outlineLevel="1" x14ac:dyDescent="0.25">
      <c r="A130" s="18" t="s">
        <v>24</v>
      </c>
      <c r="B130" s="18" t="s">
        <v>341</v>
      </c>
      <c r="C130" s="18" t="s">
        <v>321</v>
      </c>
      <c r="D130" s="19" t="s">
        <v>214</v>
      </c>
      <c r="E130" s="16" t="s">
        <v>157</v>
      </c>
      <c r="F130" s="16">
        <v>10</v>
      </c>
      <c r="G130" s="13">
        <v>2.74</v>
      </c>
      <c r="H130" s="13">
        <v>7.56</v>
      </c>
      <c r="I130" s="13">
        <f t="shared" si="159"/>
        <v>10.3</v>
      </c>
      <c r="J130" s="13">
        <f t="shared" si="160"/>
        <v>103</v>
      </c>
      <c r="K130" s="20">
        <v>0.27760000000000001</v>
      </c>
      <c r="L130" s="13">
        <f t="shared" si="161"/>
        <v>35</v>
      </c>
      <c r="M130" s="13">
        <f t="shared" si="162"/>
        <v>96.58</v>
      </c>
      <c r="N130" s="13">
        <f t="shared" si="163"/>
        <v>131.57999999999998</v>
      </c>
      <c r="X130" s="45">
        <v>1</v>
      </c>
      <c r="Y130" s="44">
        <f t="shared" si="164"/>
        <v>131.57999999999998</v>
      </c>
      <c r="AC130" s="43">
        <f t="shared" si="156"/>
        <v>1</v>
      </c>
      <c r="AD130" s="12">
        <f t="shared" si="157"/>
        <v>131.57999999999998</v>
      </c>
      <c r="AE130" s="4" t="str">
        <f t="shared" si="158"/>
        <v>OK</v>
      </c>
    </row>
    <row r="131" spans="1:31" ht="30" outlineLevel="1" x14ac:dyDescent="0.25">
      <c r="A131" s="18" t="s">
        <v>24</v>
      </c>
      <c r="B131" s="18" t="s">
        <v>342</v>
      </c>
      <c r="C131" s="18" t="s">
        <v>322</v>
      </c>
      <c r="D131" s="19" t="s">
        <v>215</v>
      </c>
      <c r="E131" s="16" t="s">
        <v>157</v>
      </c>
      <c r="F131" s="16">
        <v>37.5</v>
      </c>
      <c r="G131" s="13">
        <v>0.46</v>
      </c>
      <c r="H131" s="13">
        <v>1.44</v>
      </c>
      <c r="I131" s="13">
        <f t="shared" si="159"/>
        <v>1.9</v>
      </c>
      <c r="J131" s="13">
        <f t="shared" si="160"/>
        <v>71.25</v>
      </c>
      <c r="K131" s="20">
        <v>0.27760000000000001</v>
      </c>
      <c r="L131" s="13">
        <f t="shared" si="161"/>
        <v>22.03</v>
      </c>
      <c r="M131" s="13">
        <f t="shared" si="162"/>
        <v>68.989999999999995</v>
      </c>
      <c r="N131" s="13">
        <f t="shared" si="163"/>
        <v>91.02</v>
      </c>
      <c r="X131" s="45">
        <v>1</v>
      </c>
      <c r="Y131" s="44">
        <f t="shared" si="164"/>
        <v>91.02</v>
      </c>
      <c r="AC131" s="43">
        <f t="shared" si="156"/>
        <v>1</v>
      </c>
      <c r="AD131" s="12">
        <f t="shared" si="157"/>
        <v>91.02</v>
      </c>
      <c r="AE131" s="4" t="str">
        <f t="shared" si="158"/>
        <v>OK</v>
      </c>
    </row>
    <row r="132" spans="1:31" ht="30" outlineLevel="1" x14ac:dyDescent="0.25">
      <c r="A132" s="18" t="s">
        <v>24</v>
      </c>
      <c r="B132" s="18" t="s">
        <v>343</v>
      </c>
      <c r="C132" s="18" t="s">
        <v>323</v>
      </c>
      <c r="D132" s="19" t="s">
        <v>239</v>
      </c>
      <c r="E132" s="16" t="s">
        <v>208</v>
      </c>
      <c r="F132" s="16">
        <v>1</v>
      </c>
      <c r="G132" s="13">
        <v>24.58</v>
      </c>
      <c r="H132" s="13">
        <v>57.72</v>
      </c>
      <c r="I132" s="13">
        <f t="shared" si="159"/>
        <v>82.3</v>
      </c>
      <c r="J132" s="13">
        <f t="shared" si="160"/>
        <v>82.3</v>
      </c>
      <c r="K132" s="20">
        <v>0.27760000000000001</v>
      </c>
      <c r="L132" s="13">
        <f t="shared" si="161"/>
        <v>31.4</v>
      </c>
      <c r="M132" s="13">
        <f t="shared" si="162"/>
        <v>73.739999999999995</v>
      </c>
      <c r="N132" s="13">
        <f t="shared" si="163"/>
        <v>105.13999999999999</v>
      </c>
      <c r="X132" s="45">
        <v>1</v>
      </c>
      <c r="Y132" s="44">
        <f>X132*$N132</f>
        <v>105.13999999999999</v>
      </c>
      <c r="AC132" s="43">
        <f t="shared" si="156"/>
        <v>1</v>
      </c>
      <c r="AD132" s="12">
        <f t="shared" si="157"/>
        <v>105.13999999999999</v>
      </c>
      <c r="AE132" s="4" t="str">
        <f t="shared" si="158"/>
        <v>OK</v>
      </c>
    </row>
    <row r="133" spans="1:31" ht="30" outlineLevel="1" x14ac:dyDescent="0.25">
      <c r="A133" s="18" t="s">
        <v>24</v>
      </c>
      <c r="B133" s="18" t="s">
        <v>344</v>
      </c>
      <c r="C133" s="18" t="s">
        <v>324</v>
      </c>
      <c r="D133" s="19" t="s">
        <v>216</v>
      </c>
      <c r="E133" s="16" t="s">
        <v>208</v>
      </c>
      <c r="F133" s="16">
        <v>1</v>
      </c>
      <c r="G133" s="13">
        <v>93.14</v>
      </c>
      <c r="H133" s="13">
        <v>12.61</v>
      </c>
      <c r="I133" s="13">
        <f t="shared" si="159"/>
        <v>105.75</v>
      </c>
      <c r="J133" s="13">
        <f t="shared" si="160"/>
        <v>105.75</v>
      </c>
      <c r="K133" s="20">
        <v>0.27760000000000001</v>
      </c>
      <c r="L133" s="13">
        <f t="shared" si="161"/>
        <v>118.99</v>
      </c>
      <c r="M133" s="13">
        <f t="shared" si="162"/>
        <v>16.11</v>
      </c>
      <c r="N133" s="13">
        <f t="shared" si="163"/>
        <v>135.1</v>
      </c>
      <c r="X133" s="45">
        <v>1</v>
      </c>
      <c r="Y133" s="44">
        <f>X133*$N133</f>
        <v>135.1</v>
      </c>
      <c r="AC133" s="43">
        <f t="shared" si="156"/>
        <v>1</v>
      </c>
      <c r="AD133" s="12">
        <f t="shared" si="157"/>
        <v>135.1</v>
      </c>
      <c r="AE133" s="4" t="str">
        <f t="shared" si="158"/>
        <v>OK</v>
      </c>
    </row>
    <row r="134" spans="1:31" outlineLevel="1" x14ac:dyDescent="0.25">
      <c r="A134" s="18" t="s">
        <v>24</v>
      </c>
      <c r="B134" s="18" t="s">
        <v>345</v>
      </c>
      <c r="C134" s="18" t="s">
        <v>325</v>
      </c>
      <c r="D134" s="19" t="s">
        <v>217</v>
      </c>
      <c r="E134" s="16" t="s">
        <v>157</v>
      </c>
      <c r="F134" s="16">
        <v>10</v>
      </c>
      <c r="G134" s="13">
        <v>7.07</v>
      </c>
      <c r="H134" s="13">
        <v>5.34</v>
      </c>
      <c r="I134" s="13">
        <f t="shared" si="159"/>
        <v>12.41</v>
      </c>
      <c r="J134" s="13">
        <f t="shared" si="160"/>
        <v>124.1</v>
      </c>
      <c r="K134" s="20">
        <v>0.27760000000000001</v>
      </c>
      <c r="L134" s="13">
        <f t="shared" si="161"/>
        <v>90.32</v>
      </c>
      <c r="M134" s="13">
        <f t="shared" si="162"/>
        <v>68.22</v>
      </c>
      <c r="N134" s="13">
        <f t="shared" si="163"/>
        <v>158.54</v>
      </c>
      <c r="X134" s="45">
        <v>1</v>
      </c>
      <c r="Y134" s="44">
        <f>X134*$N134</f>
        <v>158.54</v>
      </c>
      <c r="AC134" s="43">
        <f t="shared" si="156"/>
        <v>1</v>
      </c>
      <c r="AD134" s="12">
        <f t="shared" si="157"/>
        <v>158.54</v>
      </c>
      <c r="AE134" s="4" t="str">
        <f t="shared" si="158"/>
        <v>OK</v>
      </c>
    </row>
    <row r="135" spans="1:31" ht="30" outlineLevel="1" x14ac:dyDescent="0.25">
      <c r="A135" s="18" t="s">
        <v>24</v>
      </c>
      <c r="B135" s="18" t="s">
        <v>346</v>
      </c>
      <c r="C135" s="18" t="s">
        <v>326</v>
      </c>
      <c r="D135" s="19" t="s">
        <v>218</v>
      </c>
      <c r="E135" s="16" t="s">
        <v>157</v>
      </c>
      <c r="F135" s="16">
        <v>32.4</v>
      </c>
      <c r="G135" s="13">
        <f>0.12+47.82</f>
        <v>47.94</v>
      </c>
      <c r="H135" s="13">
        <v>5.67</v>
      </c>
      <c r="I135" s="13">
        <f t="shared" si="159"/>
        <v>53.61</v>
      </c>
      <c r="J135" s="13">
        <f t="shared" si="160"/>
        <v>1736.96</v>
      </c>
      <c r="K135" s="20">
        <v>0.27760000000000001</v>
      </c>
      <c r="L135" s="13">
        <f t="shared" si="161"/>
        <v>1984.43</v>
      </c>
      <c r="M135" s="13">
        <f t="shared" si="162"/>
        <v>234.7</v>
      </c>
      <c r="N135" s="13">
        <f t="shared" si="163"/>
        <v>2219.13</v>
      </c>
      <c r="X135" s="45">
        <v>1</v>
      </c>
      <c r="Y135" s="44">
        <f t="shared" si="164"/>
        <v>2219.13</v>
      </c>
      <c r="AC135" s="43">
        <f t="shared" si="156"/>
        <v>1</v>
      </c>
      <c r="AD135" s="12">
        <f t="shared" si="157"/>
        <v>2219.13</v>
      </c>
      <c r="AE135" s="4" t="str">
        <f t="shared" si="158"/>
        <v>OK</v>
      </c>
    </row>
    <row r="136" spans="1:31" outlineLevel="1" x14ac:dyDescent="0.25">
      <c r="A136" s="18" t="s">
        <v>24</v>
      </c>
      <c r="B136" s="18" t="s">
        <v>347</v>
      </c>
      <c r="C136" s="18" t="s">
        <v>292</v>
      </c>
      <c r="D136" s="19" t="s">
        <v>149</v>
      </c>
      <c r="E136" s="16" t="s">
        <v>150</v>
      </c>
      <c r="F136" s="16">
        <v>2</v>
      </c>
      <c r="G136" s="13">
        <f>0.06+27.72+0.05</f>
        <v>27.83</v>
      </c>
      <c r="H136" s="13">
        <v>17.05</v>
      </c>
      <c r="I136" s="13">
        <f t="shared" si="159"/>
        <v>44.879999999999995</v>
      </c>
      <c r="J136" s="13">
        <f t="shared" si="160"/>
        <v>89.76</v>
      </c>
      <c r="K136" s="20">
        <v>0.27760000000000001</v>
      </c>
      <c r="L136" s="13">
        <f t="shared" si="161"/>
        <v>71.11</v>
      </c>
      <c r="M136" s="13">
        <f t="shared" si="162"/>
        <v>43.56</v>
      </c>
      <c r="N136" s="13">
        <f t="shared" si="163"/>
        <v>114.67</v>
      </c>
      <c r="X136" s="45">
        <v>1</v>
      </c>
      <c r="Y136" s="44">
        <f t="shared" si="164"/>
        <v>114.67</v>
      </c>
      <c r="AC136" s="43">
        <f t="shared" si="156"/>
        <v>1</v>
      </c>
      <c r="AD136" s="12">
        <f t="shared" si="157"/>
        <v>114.67</v>
      </c>
      <c r="AE136" s="4" t="str">
        <f t="shared" si="158"/>
        <v>OK</v>
      </c>
    </row>
    <row r="137" spans="1:31" ht="30" outlineLevel="1" x14ac:dyDescent="0.25">
      <c r="A137" s="18" t="s">
        <v>24</v>
      </c>
      <c r="B137" s="18" t="s">
        <v>348</v>
      </c>
      <c r="C137" s="18" t="s">
        <v>293</v>
      </c>
      <c r="D137" s="19" t="s">
        <v>151</v>
      </c>
      <c r="E137" s="16" t="s">
        <v>152</v>
      </c>
      <c r="F137" s="16">
        <v>0.154</v>
      </c>
      <c r="G137" s="13">
        <v>42.78</v>
      </c>
      <c r="H137" s="13">
        <v>61.64</v>
      </c>
      <c r="I137" s="13">
        <f t="shared" si="159"/>
        <v>104.42</v>
      </c>
      <c r="J137" s="13">
        <f t="shared" si="160"/>
        <v>16.079999999999998</v>
      </c>
      <c r="K137" s="20">
        <v>0.27760000000000001</v>
      </c>
      <c r="L137" s="13">
        <f t="shared" si="161"/>
        <v>8.41</v>
      </c>
      <c r="M137" s="13">
        <f t="shared" si="162"/>
        <v>12.12</v>
      </c>
      <c r="N137" s="13">
        <f t="shared" si="163"/>
        <v>20.53</v>
      </c>
      <c r="X137" s="45">
        <v>1</v>
      </c>
      <c r="Y137" s="44">
        <f t="shared" si="164"/>
        <v>20.53</v>
      </c>
      <c r="AC137" s="43">
        <f t="shared" si="156"/>
        <v>1</v>
      </c>
      <c r="AD137" s="12">
        <f t="shared" si="157"/>
        <v>20.53</v>
      </c>
      <c r="AE137" s="4" t="str">
        <f t="shared" si="158"/>
        <v>OK</v>
      </c>
    </row>
    <row r="138" spans="1:31" outlineLevel="1" x14ac:dyDescent="0.25">
      <c r="A138" s="18" t="s">
        <v>24</v>
      </c>
      <c r="B138" s="18" t="s">
        <v>349</v>
      </c>
      <c r="C138" s="18" t="s">
        <v>294</v>
      </c>
      <c r="D138" s="19" t="s">
        <v>153</v>
      </c>
      <c r="E138" s="16" t="s">
        <v>152</v>
      </c>
      <c r="F138" s="16">
        <v>0.32</v>
      </c>
      <c r="G138" s="13">
        <v>24.89</v>
      </c>
      <c r="H138" s="13">
        <v>56.09</v>
      </c>
      <c r="I138" s="13">
        <f t="shared" si="159"/>
        <v>80.98</v>
      </c>
      <c r="J138" s="13">
        <f t="shared" si="160"/>
        <v>25.91</v>
      </c>
      <c r="K138" s="20">
        <v>0.27760000000000001</v>
      </c>
      <c r="L138" s="13">
        <f t="shared" si="161"/>
        <v>10.17</v>
      </c>
      <c r="M138" s="13">
        <f t="shared" si="162"/>
        <v>22.93</v>
      </c>
      <c r="N138" s="13">
        <f t="shared" si="163"/>
        <v>33.1</v>
      </c>
      <c r="X138" s="45">
        <v>1</v>
      </c>
      <c r="Y138" s="44">
        <f t="shared" si="164"/>
        <v>33.1</v>
      </c>
      <c r="AC138" s="43">
        <f t="shared" si="156"/>
        <v>1</v>
      </c>
      <c r="AD138" s="12">
        <f t="shared" si="157"/>
        <v>33.1</v>
      </c>
      <c r="AE138" s="4" t="str">
        <f t="shared" si="158"/>
        <v>OK</v>
      </c>
    </row>
    <row r="139" spans="1:31" outlineLevel="1" x14ac:dyDescent="0.25">
      <c r="A139" s="18" t="s">
        <v>24</v>
      </c>
      <c r="B139" s="18" t="s">
        <v>350</v>
      </c>
      <c r="C139" s="18" t="s">
        <v>314</v>
      </c>
      <c r="D139" s="19" t="s">
        <v>175</v>
      </c>
      <c r="E139" s="16" t="s">
        <v>157</v>
      </c>
      <c r="F139" s="16">
        <v>55.2</v>
      </c>
      <c r="G139" s="13">
        <v>7.79</v>
      </c>
      <c r="H139" s="13">
        <v>2.95</v>
      </c>
      <c r="I139" s="13">
        <f t="shared" si="159"/>
        <v>10.74</v>
      </c>
      <c r="J139" s="13">
        <f t="shared" si="160"/>
        <v>592.84</v>
      </c>
      <c r="K139" s="20">
        <v>0.27760000000000001</v>
      </c>
      <c r="L139" s="13">
        <f t="shared" si="161"/>
        <v>549.37</v>
      </c>
      <c r="M139" s="13">
        <f t="shared" si="162"/>
        <v>208.04</v>
      </c>
      <c r="N139" s="13">
        <f t="shared" si="163"/>
        <v>757.41</v>
      </c>
      <c r="Z139" s="45">
        <v>1</v>
      </c>
      <c r="AA139" s="44">
        <f t="shared" ref="AA139" si="165">Z139*$N139</f>
        <v>757.41</v>
      </c>
      <c r="AC139" s="43">
        <f t="shared" si="156"/>
        <v>1</v>
      </c>
      <c r="AD139" s="12">
        <f t="shared" si="157"/>
        <v>757.41</v>
      </c>
      <c r="AE139" s="4" t="str">
        <f t="shared" si="158"/>
        <v>OK</v>
      </c>
    </row>
    <row r="140" spans="1:31" ht="45" outlineLevel="1" x14ac:dyDescent="0.25">
      <c r="A140" s="18" t="s">
        <v>24</v>
      </c>
      <c r="B140" s="18" t="s">
        <v>351</v>
      </c>
      <c r="C140" s="18" t="s">
        <v>303</v>
      </c>
      <c r="D140" s="19" t="s">
        <v>219</v>
      </c>
      <c r="E140" s="16" t="s">
        <v>157</v>
      </c>
      <c r="F140" s="16">
        <v>0.72</v>
      </c>
      <c r="G140" s="13">
        <v>37.29</v>
      </c>
      <c r="H140" s="13">
        <v>15.77</v>
      </c>
      <c r="I140" s="13">
        <f t="shared" si="159"/>
        <v>53.06</v>
      </c>
      <c r="J140" s="13">
        <f t="shared" si="160"/>
        <v>38.200000000000003</v>
      </c>
      <c r="K140" s="20">
        <v>0.27760000000000001</v>
      </c>
      <c r="L140" s="13">
        <f t="shared" si="161"/>
        <v>34.299999999999997</v>
      </c>
      <c r="M140" s="13">
        <f t="shared" si="162"/>
        <v>14.5</v>
      </c>
      <c r="N140" s="13">
        <f t="shared" si="163"/>
        <v>48.8</v>
      </c>
      <c r="X140" s="45">
        <v>1</v>
      </c>
      <c r="Y140" s="44">
        <f t="shared" ref="Y140:Y142" si="166">X140*$N140</f>
        <v>48.8</v>
      </c>
      <c r="AC140" s="43">
        <f t="shared" si="156"/>
        <v>1</v>
      </c>
      <c r="AD140" s="12">
        <f t="shared" si="157"/>
        <v>48.8</v>
      </c>
      <c r="AE140" s="4" t="str">
        <f t="shared" si="158"/>
        <v>OK</v>
      </c>
    </row>
    <row r="141" spans="1:31" ht="30" outlineLevel="1" x14ac:dyDescent="0.25">
      <c r="A141" s="18" t="s">
        <v>24</v>
      </c>
      <c r="B141" s="18" t="s">
        <v>352</v>
      </c>
      <c r="C141" s="18" t="s">
        <v>304</v>
      </c>
      <c r="D141" s="19" t="s">
        <v>165</v>
      </c>
      <c r="E141" s="16" t="s">
        <v>157</v>
      </c>
      <c r="F141" s="16">
        <v>9.6</v>
      </c>
      <c r="G141" s="13">
        <v>1.45</v>
      </c>
      <c r="H141" s="13">
        <v>1.21</v>
      </c>
      <c r="I141" s="13">
        <f t="shared" si="159"/>
        <v>2.66</v>
      </c>
      <c r="J141" s="13">
        <f t="shared" si="160"/>
        <v>25.53</v>
      </c>
      <c r="K141" s="20">
        <v>0.27760000000000001</v>
      </c>
      <c r="L141" s="13">
        <f t="shared" si="161"/>
        <v>17.78</v>
      </c>
      <c r="M141" s="13">
        <f t="shared" si="162"/>
        <v>14.84</v>
      </c>
      <c r="N141" s="13">
        <f t="shared" si="163"/>
        <v>32.620000000000005</v>
      </c>
      <c r="X141" s="45">
        <v>1</v>
      </c>
      <c r="Y141" s="44">
        <f t="shared" si="166"/>
        <v>32.620000000000005</v>
      </c>
      <c r="AC141" s="43">
        <f t="shared" si="156"/>
        <v>1</v>
      </c>
      <c r="AD141" s="12">
        <f t="shared" si="157"/>
        <v>32.620000000000005</v>
      </c>
      <c r="AE141" s="4" t="str">
        <f t="shared" si="158"/>
        <v>OK</v>
      </c>
    </row>
    <row r="142" spans="1:31" ht="45" outlineLevel="1" x14ac:dyDescent="0.25">
      <c r="A142" s="18" t="s">
        <v>24</v>
      </c>
      <c r="B142" s="18" t="s">
        <v>353</v>
      </c>
      <c r="C142" s="18" t="s">
        <v>305</v>
      </c>
      <c r="D142" s="19" t="s">
        <v>166</v>
      </c>
      <c r="E142" s="16" t="s">
        <v>157</v>
      </c>
      <c r="F142" s="16">
        <v>9.6</v>
      </c>
      <c r="G142" s="13">
        <v>18.690000000000001</v>
      </c>
      <c r="H142" s="13">
        <v>20.04</v>
      </c>
      <c r="I142" s="13">
        <f t="shared" si="159"/>
        <v>38.730000000000004</v>
      </c>
      <c r="J142" s="13">
        <f t="shared" si="160"/>
        <v>371.8</v>
      </c>
      <c r="K142" s="20">
        <v>0.27760000000000001</v>
      </c>
      <c r="L142" s="13">
        <f t="shared" si="161"/>
        <v>229.23</v>
      </c>
      <c r="M142" s="13">
        <f t="shared" si="162"/>
        <v>245.78</v>
      </c>
      <c r="N142" s="13">
        <f t="shared" si="163"/>
        <v>475.01</v>
      </c>
      <c r="X142" s="45">
        <v>1</v>
      </c>
      <c r="Y142" s="44">
        <f t="shared" si="166"/>
        <v>475.01</v>
      </c>
      <c r="AC142" s="43">
        <f t="shared" si="156"/>
        <v>1</v>
      </c>
      <c r="AD142" s="12">
        <f t="shared" si="157"/>
        <v>475.01</v>
      </c>
      <c r="AE142" s="4" t="str">
        <f t="shared" si="158"/>
        <v>OK</v>
      </c>
    </row>
    <row r="143" spans="1:31" outlineLevel="1" x14ac:dyDescent="0.25">
      <c r="A143" s="18" t="s">
        <v>24</v>
      </c>
      <c r="B143" s="18" t="s">
        <v>354</v>
      </c>
      <c r="C143" s="18" t="s">
        <v>312</v>
      </c>
      <c r="D143" s="19" t="s">
        <v>173</v>
      </c>
      <c r="E143" s="16" t="s">
        <v>157</v>
      </c>
      <c r="F143" s="16">
        <v>55.2</v>
      </c>
      <c r="G143" s="13">
        <v>2.16</v>
      </c>
      <c r="H143" s="13">
        <v>0.41</v>
      </c>
      <c r="I143" s="13">
        <f t="shared" si="159"/>
        <v>2.5700000000000003</v>
      </c>
      <c r="J143" s="13">
        <f t="shared" si="160"/>
        <v>141.86000000000001</v>
      </c>
      <c r="K143" s="20">
        <v>0.27760000000000001</v>
      </c>
      <c r="L143" s="13">
        <f t="shared" si="161"/>
        <v>152.33000000000001</v>
      </c>
      <c r="M143" s="13">
        <f t="shared" si="162"/>
        <v>28.91</v>
      </c>
      <c r="N143" s="13">
        <f t="shared" si="163"/>
        <v>181.24</v>
      </c>
      <c r="Z143" s="45">
        <v>1</v>
      </c>
      <c r="AA143" s="44">
        <f t="shared" ref="AA143:AA144" si="167">Z143*$N143</f>
        <v>181.24</v>
      </c>
      <c r="AC143" s="43">
        <f t="shared" si="156"/>
        <v>1</v>
      </c>
      <c r="AD143" s="12">
        <f t="shared" si="157"/>
        <v>181.24</v>
      </c>
      <c r="AE143" s="4" t="str">
        <f t="shared" si="158"/>
        <v>OK</v>
      </c>
    </row>
    <row r="144" spans="1:31" ht="30" outlineLevel="1" x14ac:dyDescent="0.25">
      <c r="A144" s="18" t="s">
        <v>24</v>
      </c>
      <c r="B144" s="18" t="s">
        <v>355</v>
      </c>
      <c r="C144" s="18" t="s">
        <v>313</v>
      </c>
      <c r="D144" s="19" t="s">
        <v>174</v>
      </c>
      <c r="E144" s="16" t="s">
        <v>157</v>
      </c>
      <c r="F144" s="16">
        <f>(5*2.5)*3</f>
        <v>37.5</v>
      </c>
      <c r="G144" s="13">
        <v>11.28</v>
      </c>
      <c r="H144" s="13">
        <v>3.57</v>
      </c>
      <c r="I144" s="13">
        <f t="shared" si="159"/>
        <v>14.85</v>
      </c>
      <c r="J144" s="13">
        <f t="shared" si="160"/>
        <v>556.87</v>
      </c>
      <c r="K144" s="20">
        <v>0.27760000000000001</v>
      </c>
      <c r="L144" s="13">
        <f t="shared" si="161"/>
        <v>540.41999999999996</v>
      </c>
      <c r="M144" s="13">
        <f t="shared" si="162"/>
        <v>171.03</v>
      </c>
      <c r="N144" s="13">
        <f t="shared" si="163"/>
        <v>711.44999999999993</v>
      </c>
      <c r="Z144" s="45">
        <v>1</v>
      </c>
      <c r="AA144" s="44">
        <f t="shared" si="167"/>
        <v>711.44999999999993</v>
      </c>
      <c r="AC144" s="43">
        <f t="shared" si="156"/>
        <v>1</v>
      </c>
      <c r="AD144" s="12">
        <f t="shared" si="157"/>
        <v>711.44999999999993</v>
      </c>
      <c r="AE144" s="4" t="str">
        <f t="shared" si="158"/>
        <v>OK</v>
      </c>
    </row>
    <row r="145" spans="1:31" outlineLevel="1" x14ac:dyDescent="0.25">
      <c r="A145" s="18" t="s">
        <v>6</v>
      </c>
      <c r="B145" s="18" t="s">
        <v>356</v>
      </c>
      <c r="C145" s="18" t="s">
        <v>8</v>
      </c>
      <c r="D145" s="19" t="s">
        <v>240</v>
      </c>
      <c r="E145" s="16" t="s">
        <v>150</v>
      </c>
      <c r="F145" s="16">
        <v>12</v>
      </c>
      <c r="G145" s="62">
        <f>COTACOES!M17</f>
        <v>94.9</v>
      </c>
      <c r="H145" s="13">
        <v>0</v>
      </c>
      <c r="I145" s="13">
        <f t="shared" ref="I145" si="168">G145+H145</f>
        <v>94.9</v>
      </c>
      <c r="J145" s="13">
        <f t="shared" ref="J145" si="169">TRUNC(I145*F145,2)</f>
        <v>1138.8</v>
      </c>
      <c r="K145" s="20">
        <v>0.27760000000000001</v>
      </c>
      <c r="L145" s="13">
        <f t="shared" ref="L145" si="170">TRUNC($F145*G145*(1+$K145),2)</f>
        <v>1454.93</v>
      </c>
      <c r="M145" s="13">
        <f t="shared" ref="M145" si="171">TRUNC($F145*H145*(1+$K145),2)</f>
        <v>0</v>
      </c>
      <c r="N145" s="13">
        <f t="shared" ref="N145" si="172">M145+L145</f>
        <v>1454.93</v>
      </c>
      <c r="X145" s="45">
        <v>0.75</v>
      </c>
      <c r="Y145" s="44">
        <f t="shared" ref="Y145:AA150" si="173">X145*$N145</f>
        <v>1091.1975</v>
      </c>
      <c r="Z145" s="45">
        <v>0.25</v>
      </c>
      <c r="AA145" s="44">
        <f t="shared" si="173"/>
        <v>363.73250000000002</v>
      </c>
      <c r="AC145" s="43">
        <f t="shared" si="156"/>
        <v>1</v>
      </c>
      <c r="AD145" s="12">
        <f t="shared" si="157"/>
        <v>1454.93</v>
      </c>
      <c r="AE145" s="4" t="str">
        <f t="shared" si="158"/>
        <v>OK</v>
      </c>
    </row>
    <row r="146" spans="1:31" ht="30" outlineLevel="1" x14ac:dyDescent="0.25">
      <c r="A146" s="18" t="s">
        <v>24</v>
      </c>
      <c r="B146" s="18" t="s">
        <v>357</v>
      </c>
      <c r="C146" s="18" t="s">
        <v>300</v>
      </c>
      <c r="D146" s="19" t="s">
        <v>220</v>
      </c>
      <c r="E146" s="16" t="s">
        <v>157</v>
      </c>
      <c r="F146" s="16">
        <v>1.28</v>
      </c>
      <c r="G146" s="13">
        <f>62.1+0.15</f>
        <v>62.25</v>
      </c>
      <c r="H146" s="13">
        <v>31.34</v>
      </c>
      <c r="I146" s="13">
        <f t="shared" ref="I146:I155" si="174">G146+H146</f>
        <v>93.59</v>
      </c>
      <c r="J146" s="13">
        <f t="shared" ref="J146:J155" si="175">TRUNC(I146*F146,2)</f>
        <v>119.79</v>
      </c>
      <c r="K146" s="20">
        <v>0.27760000000000001</v>
      </c>
      <c r="L146" s="13">
        <f t="shared" ref="L146:L155" si="176">TRUNC($F146*G146*(1+$K146),2)</f>
        <v>101.79</v>
      </c>
      <c r="M146" s="13">
        <f t="shared" ref="M146:M155" si="177">TRUNC($F146*H146*(1+$K146),2)</f>
        <v>51.25</v>
      </c>
      <c r="N146" s="13">
        <f t="shared" ref="N146:N155" si="178">M146+L146</f>
        <v>153.04000000000002</v>
      </c>
      <c r="X146" s="45">
        <v>1</v>
      </c>
      <c r="Y146" s="44">
        <f t="shared" si="173"/>
        <v>153.04000000000002</v>
      </c>
      <c r="AC146" s="43">
        <f t="shared" si="156"/>
        <v>1</v>
      </c>
      <c r="AD146" s="12">
        <f t="shared" si="157"/>
        <v>153.04000000000002</v>
      </c>
      <c r="AE146" s="4" t="str">
        <f t="shared" si="158"/>
        <v>OK</v>
      </c>
    </row>
    <row r="147" spans="1:31" ht="30" outlineLevel="1" x14ac:dyDescent="0.25">
      <c r="A147" s="18" t="s">
        <v>24</v>
      </c>
      <c r="B147" s="18" t="s">
        <v>358</v>
      </c>
      <c r="C147" s="18" t="s">
        <v>301</v>
      </c>
      <c r="D147" s="19" t="s">
        <v>161</v>
      </c>
      <c r="E147" s="16" t="s">
        <v>81</v>
      </c>
      <c r="F147" s="16">
        <v>66.36</v>
      </c>
      <c r="G147" s="13">
        <v>8.14</v>
      </c>
      <c r="H147" s="13">
        <v>2.02</v>
      </c>
      <c r="I147" s="13">
        <f t="shared" si="174"/>
        <v>10.16</v>
      </c>
      <c r="J147" s="13">
        <f t="shared" si="175"/>
        <v>674.21</v>
      </c>
      <c r="K147" s="20">
        <v>0.27760000000000001</v>
      </c>
      <c r="L147" s="13">
        <f t="shared" si="176"/>
        <v>690.12</v>
      </c>
      <c r="M147" s="13">
        <f t="shared" si="177"/>
        <v>171.25</v>
      </c>
      <c r="N147" s="13">
        <f t="shared" si="178"/>
        <v>861.37</v>
      </c>
      <c r="X147" s="45">
        <v>1</v>
      </c>
      <c r="Y147" s="44">
        <f t="shared" si="173"/>
        <v>861.37</v>
      </c>
      <c r="AC147" s="43">
        <f t="shared" si="156"/>
        <v>1</v>
      </c>
      <c r="AD147" s="12">
        <f t="shared" si="157"/>
        <v>861.37</v>
      </c>
      <c r="AE147" s="4" t="str">
        <f t="shared" si="158"/>
        <v>OK</v>
      </c>
    </row>
    <row r="148" spans="1:31" ht="45" outlineLevel="1" x14ac:dyDescent="0.25">
      <c r="A148" s="18" t="s">
        <v>24</v>
      </c>
      <c r="B148" s="18" t="s">
        <v>359</v>
      </c>
      <c r="C148" s="18" t="s">
        <v>295</v>
      </c>
      <c r="D148" s="19" t="s">
        <v>154</v>
      </c>
      <c r="E148" s="16" t="s">
        <v>81</v>
      </c>
      <c r="F148" s="16">
        <v>9.48</v>
      </c>
      <c r="G148" s="13">
        <v>8.1199999999999992</v>
      </c>
      <c r="H148" s="13">
        <v>2.04</v>
      </c>
      <c r="I148" s="13">
        <f t="shared" si="174"/>
        <v>10.16</v>
      </c>
      <c r="J148" s="13">
        <f t="shared" si="175"/>
        <v>96.31</v>
      </c>
      <c r="K148" s="20">
        <v>0.27760000000000001</v>
      </c>
      <c r="L148" s="13">
        <f t="shared" si="176"/>
        <v>98.34</v>
      </c>
      <c r="M148" s="13">
        <f t="shared" si="177"/>
        <v>24.7</v>
      </c>
      <c r="N148" s="13">
        <f t="shared" si="178"/>
        <v>123.04</v>
      </c>
      <c r="X148" s="45">
        <v>1</v>
      </c>
      <c r="Y148" s="44">
        <f t="shared" si="173"/>
        <v>123.04</v>
      </c>
      <c r="AC148" s="43">
        <f t="shared" si="156"/>
        <v>1</v>
      </c>
      <c r="AD148" s="12">
        <f t="shared" si="157"/>
        <v>123.04</v>
      </c>
      <c r="AE148" s="4" t="str">
        <f t="shared" si="158"/>
        <v>OK</v>
      </c>
    </row>
    <row r="149" spans="1:31" ht="45" outlineLevel="1" x14ac:dyDescent="0.25">
      <c r="A149" s="18" t="s">
        <v>24</v>
      </c>
      <c r="B149" s="18" t="s">
        <v>360</v>
      </c>
      <c r="C149" s="18" t="s">
        <v>296</v>
      </c>
      <c r="D149" s="19" t="s">
        <v>155</v>
      </c>
      <c r="E149" s="16" t="s">
        <v>152</v>
      </c>
      <c r="F149" s="16">
        <f>0.15*0.15*2.5*2</f>
        <v>0.11249999999999999</v>
      </c>
      <c r="G149" s="13">
        <f>0.64+334.18+0.62</f>
        <v>335.44</v>
      </c>
      <c r="H149" s="13">
        <v>96.3</v>
      </c>
      <c r="I149" s="13">
        <f t="shared" si="174"/>
        <v>431.74</v>
      </c>
      <c r="J149" s="13">
        <f t="shared" si="175"/>
        <v>48.57</v>
      </c>
      <c r="K149" s="20">
        <v>0.27760000000000001</v>
      </c>
      <c r="L149" s="13">
        <f t="shared" si="176"/>
        <v>48.21</v>
      </c>
      <c r="M149" s="13">
        <f t="shared" si="177"/>
        <v>13.84</v>
      </c>
      <c r="N149" s="13">
        <f t="shared" si="178"/>
        <v>62.05</v>
      </c>
      <c r="X149" s="45">
        <v>1</v>
      </c>
      <c r="Y149" s="44">
        <f t="shared" si="173"/>
        <v>62.05</v>
      </c>
      <c r="AC149" s="43">
        <f t="shared" si="156"/>
        <v>1</v>
      </c>
      <c r="AD149" s="12">
        <f t="shared" si="157"/>
        <v>62.05</v>
      </c>
      <c r="AE149" s="4" t="str">
        <f t="shared" si="158"/>
        <v>OK</v>
      </c>
    </row>
    <row r="150" spans="1:31" ht="30" outlineLevel="1" x14ac:dyDescent="0.25">
      <c r="A150" s="18" t="s">
        <v>24</v>
      </c>
      <c r="B150" s="18" t="s">
        <v>361</v>
      </c>
      <c r="C150" s="18" t="s">
        <v>302</v>
      </c>
      <c r="D150" s="19" t="s">
        <v>221</v>
      </c>
      <c r="E150" s="16" t="s">
        <v>152</v>
      </c>
      <c r="F150" s="16">
        <f>0.4*0.4*0.4*2</f>
        <v>0.12800000000000003</v>
      </c>
      <c r="G150" s="13">
        <f>2.34+330.04+1.65</f>
        <v>334.03</v>
      </c>
      <c r="H150" s="13">
        <v>93.52</v>
      </c>
      <c r="I150" s="13">
        <f t="shared" si="174"/>
        <v>427.54999999999995</v>
      </c>
      <c r="J150" s="13">
        <f t="shared" si="175"/>
        <v>54.72</v>
      </c>
      <c r="K150" s="20">
        <v>0.27760000000000001</v>
      </c>
      <c r="L150" s="13">
        <f t="shared" si="176"/>
        <v>54.62</v>
      </c>
      <c r="M150" s="13">
        <f t="shared" si="177"/>
        <v>15.29</v>
      </c>
      <c r="N150" s="13">
        <f t="shared" si="178"/>
        <v>69.91</v>
      </c>
      <c r="X150" s="45">
        <v>1</v>
      </c>
      <c r="Y150" s="44">
        <f t="shared" si="173"/>
        <v>69.91</v>
      </c>
      <c r="AC150" s="43">
        <f t="shared" si="156"/>
        <v>1</v>
      </c>
      <c r="AD150" s="12">
        <f t="shared" si="157"/>
        <v>69.91</v>
      </c>
      <c r="AE150" s="4" t="str">
        <f t="shared" si="158"/>
        <v>OK</v>
      </c>
    </row>
    <row r="151" spans="1:31" ht="30" outlineLevel="1" x14ac:dyDescent="0.25">
      <c r="A151" s="18" t="s">
        <v>24</v>
      </c>
      <c r="B151" s="18" t="s">
        <v>362</v>
      </c>
      <c r="C151" s="18" t="s">
        <v>310</v>
      </c>
      <c r="D151" s="19" t="s">
        <v>171</v>
      </c>
      <c r="E151" s="16" t="s">
        <v>17</v>
      </c>
      <c r="F151" s="16">
        <v>50</v>
      </c>
      <c r="G151" s="13">
        <v>4.66</v>
      </c>
      <c r="H151" s="13">
        <v>2.69</v>
      </c>
      <c r="I151" s="13">
        <f t="shared" si="174"/>
        <v>7.35</v>
      </c>
      <c r="J151" s="13">
        <f t="shared" si="175"/>
        <v>367.5</v>
      </c>
      <c r="K151" s="20">
        <v>0.27760000000000001</v>
      </c>
      <c r="L151" s="13">
        <f t="shared" si="176"/>
        <v>297.68</v>
      </c>
      <c r="M151" s="13">
        <f t="shared" si="177"/>
        <v>171.83</v>
      </c>
      <c r="N151" s="13">
        <f t="shared" si="178"/>
        <v>469.51</v>
      </c>
      <c r="Z151" s="45">
        <v>1</v>
      </c>
      <c r="AA151" s="44">
        <f t="shared" ref="AA151:AA155" si="179">Z151*$N151</f>
        <v>469.51</v>
      </c>
      <c r="AC151" s="43">
        <f t="shared" si="156"/>
        <v>1</v>
      </c>
      <c r="AD151" s="12">
        <f t="shared" si="157"/>
        <v>469.51</v>
      </c>
      <c r="AE151" s="4" t="str">
        <f t="shared" si="158"/>
        <v>OK</v>
      </c>
    </row>
    <row r="152" spans="1:31" ht="30" outlineLevel="1" x14ac:dyDescent="0.25">
      <c r="A152" s="18" t="s">
        <v>24</v>
      </c>
      <c r="B152" s="18" t="s">
        <v>363</v>
      </c>
      <c r="C152" s="18" t="s">
        <v>311</v>
      </c>
      <c r="D152" s="19" t="s">
        <v>172</v>
      </c>
      <c r="E152" s="16" t="s">
        <v>17</v>
      </c>
      <c r="F152" s="16">
        <v>100</v>
      </c>
      <c r="G152" s="13">
        <v>1.61</v>
      </c>
      <c r="H152" s="13">
        <v>0.63</v>
      </c>
      <c r="I152" s="13">
        <f t="shared" si="174"/>
        <v>2.2400000000000002</v>
      </c>
      <c r="J152" s="13">
        <f t="shared" si="175"/>
        <v>224</v>
      </c>
      <c r="K152" s="20">
        <v>0.27760000000000001</v>
      </c>
      <c r="L152" s="13">
        <f t="shared" si="176"/>
        <v>205.69</v>
      </c>
      <c r="M152" s="13">
        <f t="shared" si="177"/>
        <v>80.48</v>
      </c>
      <c r="N152" s="13">
        <f t="shared" si="178"/>
        <v>286.17</v>
      </c>
      <c r="Z152" s="45">
        <v>1</v>
      </c>
      <c r="AA152" s="44">
        <f t="shared" si="179"/>
        <v>286.17</v>
      </c>
      <c r="AC152" s="43">
        <f t="shared" si="156"/>
        <v>1</v>
      </c>
      <c r="AD152" s="12">
        <f t="shared" si="157"/>
        <v>286.17</v>
      </c>
      <c r="AE152" s="4" t="str">
        <f t="shared" si="158"/>
        <v>OK</v>
      </c>
    </row>
    <row r="153" spans="1:31" ht="30" outlineLevel="1" x14ac:dyDescent="0.25">
      <c r="A153" s="18" t="s">
        <v>24</v>
      </c>
      <c r="B153" s="18" t="s">
        <v>364</v>
      </c>
      <c r="C153" s="18" t="s">
        <v>308</v>
      </c>
      <c r="D153" s="19" t="s">
        <v>169</v>
      </c>
      <c r="E153" s="16" t="s">
        <v>150</v>
      </c>
      <c r="F153" s="16">
        <v>1</v>
      </c>
      <c r="G153" s="13">
        <v>22.94</v>
      </c>
      <c r="H153" s="13">
        <v>11.58</v>
      </c>
      <c r="I153" s="13">
        <f t="shared" si="174"/>
        <v>34.520000000000003</v>
      </c>
      <c r="J153" s="13">
        <f t="shared" si="175"/>
        <v>34.520000000000003</v>
      </c>
      <c r="K153" s="20">
        <v>0.27760000000000001</v>
      </c>
      <c r="L153" s="13">
        <f t="shared" si="176"/>
        <v>29.3</v>
      </c>
      <c r="M153" s="13">
        <f t="shared" si="177"/>
        <v>14.79</v>
      </c>
      <c r="N153" s="13">
        <f t="shared" si="178"/>
        <v>44.09</v>
      </c>
      <c r="Z153" s="45">
        <v>1</v>
      </c>
      <c r="AA153" s="44">
        <f t="shared" si="179"/>
        <v>44.09</v>
      </c>
      <c r="AC153" s="43">
        <f t="shared" si="156"/>
        <v>1</v>
      </c>
      <c r="AD153" s="12">
        <f t="shared" si="157"/>
        <v>44.09</v>
      </c>
      <c r="AE153" s="4" t="str">
        <f t="shared" si="158"/>
        <v>OK</v>
      </c>
    </row>
    <row r="154" spans="1:31" ht="30" outlineLevel="1" x14ac:dyDescent="0.25">
      <c r="A154" s="18" t="s">
        <v>24</v>
      </c>
      <c r="B154" s="18" t="s">
        <v>365</v>
      </c>
      <c r="C154" s="18" t="s">
        <v>309</v>
      </c>
      <c r="D154" s="19" t="s">
        <v>222</v>
      </c>
      <c r="E154" s="16" t="s">
        <v>150</v>
      </c>
      <c r="F154" s="16">
        <v>5</v>
      </c>
      <c r="G154" s="13">
        <v>69.45</v>
      </c>
      <c r="H154" s="13">
        <v>7.58</v>
      </c>
      <c r="I154" s="13">
        <f t="shared" si="174"/>
        <v>77.03</v>
      </c>
      <c r="J154" s="13">
        <f t="shared" si="175"/>
        <v>385.15</v>
      </c>
      <c r="K154" s="20">
        <v>0.27760000000000001</v>
      </c>
      <c r="L154" s="13">
        <f t="shared" si="176"/>
        <v>443.64</v>
      </c>
      <c r="M154" s="13">
        <f t="shared" si="177"/>
        <v>48.42</v>
      </c>
      <c r="N154" s="13">
        <f t="shared" si="178"/>
        <v>492.06</v>
      </c>
      <c r="Z154" s="45">
        <v>1</v>
      </c>
      <c r="AA154" s="44">
        <f t="shared" si="179"/>
        <v>492.06</v>
      </c>
      <c r="AC154" s="43">
        <f t="shared" si="156"/>
        <v>1</v>
      </c>
      <c r="AD154" s="12">
        <f t="shared" si="157"/>
        <v>492.06</v>
      </c>
      <c r="AE154" s="4" t="str">
        <f t="shared" si="158"/>
        <v>OK</v>
      </c>
    </row>
    <row r="155" spans="1:31" outlineLevel="1" x14ac:dyDescent="0.25">
      <c r="A155" s="18" t="s">
        <v>24</v>
      </c>
      <c r="B155" s="18" t="s">
        <v>366</v>
      </c>
      <c r="C155" s="18" t="s">
        <v>327</v>
      </c>
      <c r="D155" s="19" t="s">
        <v>223</v>
      </c>
      <c r="E155" s="16" t="s">
        <v>157</v>
      </c>
      <c r="F155" s="16">
        <v>600</v>
      </c>
      <c r="G155" s="13">
        <f>0.38+0.01</f>
        <v>0.39</v>
      </c>
      <c r="H155" s="13">
        <v>0.83</v>
      </c>
      <c r="I155" s="13">
        <f t="shared" si="174"/>
        <v>1.22</v>
      </c>
      <c r="J155" s="13">
        <f t="shared" si="175"/>
        <v>732</v>
      </c>
      <c r="K155" s="20">
        <v>0.27760000000000001</v>
      </c>
      <c r="L155" s="13">
        <f t="shared" si="176"/>
        <v>298.95</v>
      </c>
      <c r="M155" s="13">
        <f t="shared" si="177"/>
        <v>636.24</v>
      </c>
      <c r="N155" s="13">
        <f t="shared" si="178"/>
        <v>935.19</v>
      </c>
      <c r="Z155" s="45">
        <v>1</v>
      </c>
      <c r="AA155" s="44">
        <f t="shared" si="179"/>
        <v>935.19</v>
      </c>
      <c r="AC155" s="43">
        <f t="shared" si="156"/>
        <v>1</v>
      </c>
      <c r="AD155" s="12">
        <f t="shared" si="157"/>
        <v>935.19</v>
      </c>
      <c r="AE155" s="4" t="str">
        <f t="shared" si="158"/>
        <v>OK</v>
      </c>
    </row>
    <row r="156" spans="1:31" outlineLevel="1" x14ac:dyDescent="0.25">
      <c r="A156" s="18" t="s">
        <v>24</v>
      </c>
      <c r="B156" s="18" t="s">
        <v>430</v>
      </c>
      <c r="C156" s="18" t="s">
        <v>431</v>
      </c>
      <c r="D156" s="19" t="s">
        <v>432</v>
      </c>
      <c r="E156" s="16" t="s">
        <v>150</v>
      </c>
      <c r="F156" s="16">
        <v>2</v>
      </c>
      <c r="G156" s="13">
        <f>'PCCU composicoes'!H42</f>
        <v>539.79999999999995</v>
      </c>
      <c r="H156" s="13">
        <f>'PCCU composicoes'!H43</f>
        <v>323.83999999999997</v>
      </c>
      <c r="I156" s="13">
        <f t="shared" ref="I156" si="180">G156+H156</f>
        <v>863.63999999999987</v>
      </c>
      <c r="J156" s="13">
        <f t="shared" ref="J156" si="181">TRUNC(I156*F156,2)</f>
        <v>1727.28</v>
      </c>
      <c r="K156" s="20">
        <v>0.27760000000000001</v>
      </c>
      <c r="L156" s="13">
        <f t="shared" ref="L156" si="182">TRUNC($F156*G156*(1+$K156),2)</f>
        <v>1379.29</v>
      </c>
      <c r="M156" s="13">
        <f t="shared" ref="M156" si="183">TRUNC($F156*H156*(1+$K156),2)</f>
        <v>827.47</v>
      </c>
      <c r="N156" s="13">
        <f t="shared" ref="N156" si="184">M156+L156</f>
        <v>2206.7600000000002</v>
      </c>
      <c r="V156" s="45">
        <v>0.5</v>
      </c>
      <c r="W156" s="44">
        <f t="shared" ref="W156" si="185">V156*$N156</f>
        <v>1103.3800000000001</v>
      </c>
      <c r="Z156" s="45">
        <v>0.5</v>
      </c>
      <c r="AA156" s="44">
        <f t="shared" ref="AA156" si="186">Z156*$N156</f>
        <v>1103.3800000000001</v>
      </c>
      <c r="AC156" s="43">
        <f t="shared" si="156"/>
        <v>1</v>
      </c>
      <c r="AD156" s="12">
        <f t="shared" ref="AD156" si="187">SUM(U156,W156,Y156,AA156)</f>
        <v>2206.7600000000002</v>
      </c>
      <c r="AE156" s="4" t="str">
        <f t="shared" ref="AE156" si="188">IF(AD156=N156,"OK","VERIFICAR")</f>
        <v>OK</v>
      </c>
    </row>
    <row r="158" spans="1:31" x14ac:dyDescent="0.25">
      <c r="A158" s="5" t="s">
        <v>368</v>
      </c>
      <c r="B158" s="6"/>
      <c r="C158" s="6"/>
      <c r="D158" s="29"/>
      <c r="E158" s="6"/>
      <c r="F158" s="7"/>
      <c r="G158" s="7"/>
      <c r="H158" s="7"/>
      <c r="I158" s="8"/>
      <c r="J158" s="8"/>
      <c r="K158" s="8"/>
      <c r="L158" s="8"/>
      <c r="M158" s="8"/>
      <c r="N158" s="8">
        <f>SUM(N159:N167)</f>
        <v>6866.56</v>
      </c>
      <c r="P158" s="35">
        <f>N158/$N$171</f>
        <v>2.00328113372614E-2</v>
      </c>
      <c r="Q158" s="35"/>
      <c r="T158" s="58">
        <f>U158/$N$171</f>
        <v>0</v>
      </c>
      <c r="U158" s="8">
        <f>SUM(U159:U167)</f>
        <v>0</v>
      </c>
      <c r="V158" s="58">
        <f>W158/$N$171</f>
        <v>0</v>
      </c>
      <c r="W158" s="8">
        <f>SUM(W159:W167)</f>
        <v>0</v>
      </c>
      <c r="X158" s="58">
        <f>Y158/$N$171</f>
        <v>1.5024608502946049E-2</v>
      </c>
      <c r="Y158" s="8">
        <f>SUM(Y159:Y167)</f>
        <v>5149.92</v>
      </c>
      <c r="Z158" s="58">
        <f>AA158/$N$171</f>
        <v>5.0082028343153501E-3</v>
      </c>
      <c r="AA158" s="8">
        <f>SUM(AA159:AA167)</f>
        <v>1716.64</v>
      </c>
      <c r="AC158" s="5"/>
      <c r="AD158" s="12">
        <f t="shared" ref="AC158:AD167" si="189">SUM(U158,W158,Y158,AA158)</f>
        <v>6866.56</v>
      </c>
      <c r="AE158" s="4" t="str">
        <f t="shared" ref="AE158:AE167" si="190">IF(AD158=N158,"OK","VERIFICAR")</f>
        <v>OK</v>
      </c>
    </row>
    <row r="159" spans="1:31" ht="30" outlineLevel="1" x14ac:dyDescent="0.25">
      <c r="A159" s="18" t="s">
        <v>24</v>
      </c>
      <c r="B159" s="18" t="s">
        <v>367</v>
      </c>
      <c r="C159" s="18" t="s">
        <v>410</v>
      </c>
      <c r="D159" s="19" t="s">
        <v>411</v>
      </c>
      <c r="E159" s="16" t="s">
        <v>84</v>
      </c>
      <c r="F159" s="16">
        <f>6*5</f>
        <v>30</v>
      </c>
      <c r="G159" s="13">
        <v>25.39</v>
      </c>
      <c r="H159" s="13">
        <v>8.73</v>
      </c>
      <c r="I159" s="13">
        <f t="shared" ref="I159" si="191">G159+H159</f>
        <v>34.120000000000005</v>
      </c>
      <c r="J159" s="13">
        <f t="shared" ref="J159" si="192">TRUNC(I159*F159,2)</f>
        <v>1023.6</v>
      </c>
      <c r="K159" s="20">
        <v>0.27760000000000001</v>
      </c>
      <c r="L159" s="13">
        <f t="shared" ref="L159" si="193">TRUNC($F159*G159*(1+$K159),2)</f>
        <v>973.14</v>
      </c>
      <c r="M159" s="13">
        <f t="shared" ref="M159" si="194">TRUNC($F159*H159*(1+$K159),2)</f>
        <v>334.6</v>
      </c>
      <c r="N159" s="13">
        <f t="shared" ref="N159" si="195">M159+L159</f>
        <v>1307.74</v>
      </c>
      <c r="X159" s="45">
        <v>0.75</v>
      </c>
      <c r="Y159" s="44">
        <f t="shared" ref="Y159" si="196">X159*$N159</f>
        <v>980.80500000000006</v>
      </c>
      <c r="Z159" s="45">
        <v>0.25</v>
      </c>
      <c r="AA159" s="44">
        <f t="shared" ref="AA159" si="197">Z159*$N159</f>
        <v>326.935</v>
      </c>
      <c r="AC159" s="43">
        <f t="shared" si="189"/>
        <v>1</v>
      </c>
      <c r="AD159" s="12">
        <f t="shared" si="189"/>
        <v>1307.74</v>
      </c>
      <c r="AE159" s="4" t="str">
        <f t="shared" si="190"/>
        <v>OK</v>
      </c>
    </row>
    <row r="160" spans="1:31" ht="30" outlineLevel="1" x14ac:dyDescent="0.25">
      <c r="A160" s="18" t="s">
        <v>24</v>
      </c>
      <c r="B160" s="18" t="s">
        <v>369</v>
      </c>
      <c r="C160" s="18" t="s">
        <v>378</v>
      </c>
      <c r="D160" s="19" t="s">
        <v>379</v>
      </c>
      <c r="E160" s="16" t="s">
        <v>84</v>
      </c>
      <c r="F160" s="16">
        <v>90</v>
      </c>
      <c r="G160" s="13">
        <v>24.17</v>
      </c>
      <c r="H160" s="13">
        <v>0.69</v>
      </c>
      <c r="I160" s="13">
        <f t="shared" ref="I160:I164" si="198">G160+H160</f>
        <v>24.860000000000003</v>
      </c>
      <c r="J160" s="13">
        <f t="shared" ref="J160:J164" si="199">TRUNC(I160*F160,2)</f>
        <v>2237.4</v>
      </c>
      <c r="K160" s="20">
        <v>0.27760000000000001</v>
      </c>
      <c r="L160" s="13">
        <f t="shared" ref="L160:L164" si="200">TRUNC($F160*G160*(1+$K160),2)</f>
        <v>2779.16</v>
      </c>
      <c r="M160" s="13">
        <f t="shared" ref="M160:M164" si="201">TRUNC($F160*H160*(1+$K160),2)</f>
        <v>79.33</v>
      </c>
      <c r="N160" s="13">
        <f t="shared" ref="N160:N164" si="202">M160+L160</f>
        <v>2858.49</v>
      </c>
      <c r="X160" s="45">
        <v>0.75</v>
      </c>
      <c r="Y160" s="44">
        <f t="shared" ref="Y160:Y167" si="203">X160*$N160</f>
        <v>2143.8674999999998</v>
      </c>
      <c r="Z160" s="45">
        <v>0.25</v>
      </c>
      <c r="AA160" s="44">
        <f t="shared" ref="AA160:AA167" si="204">Z160*$N160</f>
        <v>714.62249999999995</v>
      </c>
      <c r="AC160" s="43">
        <f t="shared" si="189"/>
        <v>1</v>
      </c>
      <c r="AD160" s="12">
        <f t="shared" si="189"/>
        <v>2858.49</v>
      </c>
      <c r="AE160" s="4" t="str">
        <f t="shared" si="190"/>
        <v>OK</v>
      </c>
    </row>
    <row r="161" spans="1:31" ht="30" outlineLevel="1" x14ac:dyDescent="0.25">
      <c r="A161" s="18" t="s">
        <v>24</v>
      </c>
      <c r="B161" s="18" t="s">
        <v>370</v>
      </c>
      <c r="C161" s="18" t="s">
        <v>400</v>
      </c>
      <c r="D161" s="19" t="s">
        <v>374</v>
      </c>
      <c r="E161" s="16" t="s">
        <v>9</v>
      </c>
      <c r="F161" s="16">
        <v>6</v>
      </c>
      <c r="G161" s="13">
        <v>7.95</v>
      </c>
      <c r="H161" s="13">
        <v>8.51</v>
      </c>
      <c r="I161" s="13">
        <f t="shared" si="198"/>
        <v>16.46</v>
      </c>
      <c r="J161" s="13">
        <f t="shared" si="199"/>
        <v>98.76</v>
      </c>
      <c r="K161" s="20">
        <v>0.27760000000000001</v>
      </c>
      <c r="L161" s="13">
        <f t="shared" si="200"/>
        <v>60.94</v>
      </c>
      <c r="M161" s="13">
        <f t="shared" si="201"/>
        <v>65.23</v>
      </c>
      <c r="N161" s="13">
        <f t="shared" si="202"/>
        <v>126.17</v>
      </c>
      <c r="X161" s="45">
        <v>0.75</v>
      </c>
      <c r="Y161" s="44">
        <f t="shared" si="203"/>
        <v>94.627499999999998</v>
      </c>
      <c r="Z161" s="45">
        <v>0.25</v>
      </c>
      <c r="AA161" s="44">
        <f t="shared" si="204"/>
        <v>31.5425</v>
      </c>
      <c r="AC161" s="43">
        <f t="shared" si="189"/>
        <v>1</v>
      </c>
      <c r="AD161" s="12">
        <f t="shared" si="189"/>
        <v>126.17</v>
      </c>
      <c r="AE161" s="4" t="str">
        <f t="shared" si="190"/>
        <v>OK</v>
      </c>
    </row>
    <row r="162" spans="1:31" ht="30" outlineLevel="1" x14ac:dyDescent="0.25">
      <c r="A162" s="18" t="s">
        <v>24</v>
      </c>
      <c r="B162" s="18" t="s">
        <v>371</v>
      </c>
      <c r="C162" s="18" t="s">
        <v>401</v>
      </c>
      <c r="D162" s="19" t="s">
        <v>403</v>
      </c>
      <c r="E162" s="16" t="s">
        <v>9</v>
      </c>
      <c r="F162" s="16">
        <v>12</v>
      </c>
      <c r="G162" s="13">
        <v>28.46</v>
      </c>
      <c r="H162" s="13">
        <v>4.26</v>
      </c>
      <c r="I162" s="13">
        <f t="shared" si="198"/>
        <v>32.72</v>
      </c>
      <c r="J162" s="13">
        <f t="shared" si="199"/>
        <v>392.64</v>
      </c>
      <c r="K162" s="20">
        <v>0.27760000000000001</v>
      </c>
      <c r="L162" s="13">
        <f t="shared" si="200"/>
        <v>436.32</v>
      </c>
      <c r="M162" s="13">
        <f t="shared" si="201"/>
        <v>65.31</v>
      </c>
      <c r="N162" s="13">
        <f t="shared" si="202"/>
        <v>501.63</v>
      </c>
      <c r="X162" s="45">
        <v>0.75</v>
      </c>
      <c r="Y162" s="44">
        <f t="shared" si="203"/>
        <v>376.22249999999997</v>
      </c>
      <c r="Z162" s="45">
        <v>0.25</v>
      </c>
      <c r="AA162" s="44">
        <f t="shared" si="204"/>
        <v>125.4075</v>
      </c>
      <c r="AC162" s="43">
        <f t="shared" si="189"/>
        <v>1</v>
      </c>
      <c r="AD162" s="12">
        <f t="shared" si="189"/>
        <v>501.63</v>
      </c>
      <c r="AE162" s="4" t="str">
        <f t="shared" si="190"/>
        <v>OK</v>
      </c>
    </row>
    <row r="163" spans="1:31" ht="30" outlineLevel="1" x14ac:dyDescent="0.25">
      <c r="A163" s="18" t="s">
        <v>24</v>
      </c>
      <c r="B163" s="18" t="s">
        <v>372</v>
      </c>
      <c r="C163" s="18" t="s">
        <v>244</v>
      </c>
      <c r="D163" s="19" t="s">
        <v>33</v>
      </c>
      <c r="E163" s="16" t="s">
        <v>34</v>
      </c>
      <c r="F163" s="16">
        <v>1</v>
      </c>
      <c r="G163" s="13">
        <v>29.43</v>
      </c>
      <c r="H163" s="13">
        <v>0</v>
      </c>
      <c r="I163" s="13">
        <f t="shared" si="198"/>
        <v>29.43</v>
      </c>
      <c r="J163" s="13">
        <f t="shared" si="199"/>
        <v>29.43</v>
      </c>
      <c r="K163" s="20">
        <v>0.27760000000000001</v>
      </c>
      <c r="L163" s="13">
        <f t="shared" si="200"/>
        <v>37.590000000000003</v>
      </c>
      <c r="M163" s="13">
        <f t="shared" si="201"/>
        <v>0</v>
      </c>
      <c r="N163" s="13">
        <f t="shared" si="202"/>
        <v>37.590000000000003</v>
      </c>
      <c r="X163" s="45">
        <v>0.75</v>
      </c>
      <c r="Y163" s="44">
        <f t="shared" si="203"/>
        <v>28.192500000000003</v>
      </c>
      <c r="Z163" s="45">
        <v>0.25</v>
      </c>
      <c r="AA163" s="44">
        <f t="shared" si="204"/>
        <v>9.3975000000000009</v>
      </c>
      <c r="AC163" s="43">
        <f t="shared" si="189"/>
        <v>1</v>
      </c>
      <c r="AD163" s="12">
        <f t="shared" si="189"/>
        <v>37.590000000000003</v>
      </c>
      <c r="AE163" s="4" t="str">
        <f t="shared" si="190"/>
        <v>OK</v>
      </c>
    </row>
    <row r="164" spans="1:31" ht="30" outlineLevel="1" x14ac:dyDescent="0.25">
      <c r="A164" s="18" t="s">
        <v>24</v>
      </c>
      <c r="B164" s="18" t="s">
        <v>373</v>
      </c>
      <c r="C164" s="18" t="s">
        <v>404</v>
      </c>
      <c r="D164" s="19" t="s">
        <v>376</v>
      </c>
      <c r="E164" s="16" t="s">
        <v>377</v>
      </c>
      <c r="F164" s="16">
        <f>100*0.3*0.333333</f>
        <v>9.9999900000000004</v>
      </c>
      <c r="G164" s="13">
        <v>17.5</v>
      </c>
      <c r="H164" s="13">
        <v>36.42</v>
      </c>
      <c r="I164" s="13">
        <f t="shared" si="198"/>
        <v>53.92</v>
      </c>
      <c r="J164" s="13">
        <f t="shared" si="199"/>
        <v>539.19000000000005</v>
      </c>
      <c r="K164" s="20">
        <v>0.27760000000000001</v>
      </c>
      <c r="L164" s="13">
        <f t="shared" si="200"/>
        <v>223.57</v>
      </c>
      <c r="M164" s="13">
        <f t="shared" si="201"/>
        <v>465.3</v>
      </c>
      <c r="N164" s="13">
        <f t="shared" si="202"/>
        <v>688.87</v>
      </c>
      <c r="X164" s="45">
        <v>0.75</v>
      </c>
      <c r="Y164" s="44">
        <f t="shared" si="203"/>
        <v>516.65250000000003</v>
      </c>
      <c r="Z164" s="45">
        <v>0.25</v>
      </c>
      <c r="AA164" s="44">
        <f t="shared" si="204"/>
        <v>172.2175</v>
      </c>
      <c r="AC164" s="43">
        <f t="shared" si="189"/>
        <v>1</v>
      </c>
      <c r="AD164" s="12">
        <f t="shared" si="189"/>
        <v>688.87</v>
      </c>
      <c r="AE164" s="4" t="str">
        <f t="shared" si="190"/>
        <v>OK</v>
      </c>
    </row>
    <row r="165" spans="1:31" outlineLevel="1" x14ac:dyDescent="0.25">
      <c r="A165" s="18" t="s">
        <v>24</v>
      </c>
      <c r="B165" s="18" t="s">
        <v>405</v>
      </c>
      <c r="C165" s="18" t="s">
        <v>406</v>
      </c>
      <c r="D165" s="19" t="s">
        <v>407</v>
      </c>
      <c r="E165" s="16" t="s">
        <v>377</v>
      </c>
      <c r="F165" s="16">
        <v>10</v>
      </c>
      <c r="G165" s="13">
        <v>10.61</v>
      </c>
      <c r="H165" s="13">
        <v>22.08</v>
      </c>
      <c r="I165" s="13">
        <f t="shared" ref="I165:I167" si="205">G165+H165</f>
        <v>32.69</v>
      </c>
      <c r="J165" s="13">
        <f t="shared" ref="J165:J167" si="206">TRUNC(I165*F165,2)</f>
        <v>326.89999999999998</v>
      </c>
      <c r="K165" s="20">
        <v>0.27760000000000001</v>
      </c>
      <c r="L165" s="13">
        <f t="shared" ref="L165:L167" si="207">TRUNC($F165*G165*(1+$K165),2)</f>
        <v>135.55000000000001</v>
      </c>
      <c r="M165" s="13">
        <f t="shared" ref="M165:M167" si="208">TRUNC($F165*H165*(1+$K165),2)</f>
        <v>282.08999999999997</v>
      </c>
      <c r="N165" s="13">
        <f t="shared" ref="N165:N167" si="209">M165+L165</f>
        <v>417.64</v>
      </c>
      <c r="X165" s="45">
        <v>0.75</v>
      </c>
      <c r="Y165" s="44">
        <f t="shared" si="203"/>
        <v>313.23</v>
      </c>
      <c r="Z165" s="45">
        <v>0.25</v>
      </c>
      <c r="AA165" s="44">
        <f t="shared" si="204"/>
        <v>104.41</v>
      </c>
      <c r="AC165" s="43">
        <f t="shared" si="189"/>
        <v>1</v>
      </c>
      <c r="AD165" s="12">
        <f t="shared" si="189"/>
        <v>417.64</v>
      </c>
      <c r="AE165" s="4" t="str">
        <f t="shared" si="190"/>
        <v>OK</v>
      </c>
    </row>
    <row r="166" spans="1:31" ht="30" outlineLevel="1" x14ac:dyDescent="0.25">
      <c r="A166" s="18" t="s">
        <v>24</v>
      </c>
      <c r="B166" s="18" t="s">
        <v>408</v>
      </c>
      <c r="C166" s="18" t="s">
        <v>321</v>
      </c>
      <c r="D166" s="19" t="s">
        <v>214</v>
      </c>
      <c r="E166" s="16" t="s">
        <v>157</v>
      </c>
      <c r="F166" s="16">
        <f>80*0.4</f>
        <v>32</v>
      </c>
      <c r="G166" s="13">
        <v>2.74</v>
      </c>
      <c r="H166" s="13">
        <v>7.56</v>
      </c>
      <c r="I166" s="13">
        <f t="shared" si="205"/>
        <v>10.3</v>
      </c>
      <c r="J166" s="13">
        <f t="shared" si="206"/>
        <v>329.6</v>
      </c>
      <c r="K166" s="20">
        <v>0.27760000000000001</v>
      </c>
      <c r="L166" s="13">
        <f t="shared" si="207"/>
        <v>112.01</v>
      </c>
      <c r="M166" s="13">
        <f t="shared" si="208"/>
        <v>309.07</v>
      </c>
      <c r="N166" s="13">
        <f t="shared" si="209"/>
        <v>421.08</v>
      </c>
      <c r="X166" s="45">
        <v>0.75</v>
      </c>
      <c r="Y166" s="44">
        <f t="shared" si="203"/>
        <v>315.81</v>
      </c>
      <c r="Z166" s="45">
        <v>0.25</v>
      </c>
      <c r="AA166" s="44">
        <f t="shared" si="204"/>
        <v>105.27</v>
      </c>
      <c r="AC166" s="43">
        <f t="shared" si="189"/>
        <v>1</v>
      </c>
      <c r="AD166" s="12">
        <f t="shared" si="189"/>
        <v>421.08</v>
      </c>
      <c r="AE166" s="4" t="str">
        <f t="shared" si="190"/>
        <v>OK</v>
      </c>
    </row>
    <row r="167" spans="1:31" outlineLevel="1" x14ac:dyDescent="0.25">
      <c r="A167" s="18" t="s">
        <v>24</v>
      </c>
      <c r="B167" s="18" t="s">
        <v>409</v>
      </c>
      <c r="C167" s="18" t="s">
        <v>325</v>
      </c>
      <c r="D167" s="19" t="s">
        <v>217</v>
      </c>
      <c r="E167" s="16" t="s">
        <v>157</v>
      </c>
      <c r="F167" s="16">
        <f>80*0.4</f>
        <v>32</v>
      </c>
      <c r="G167" s="13">
        <v>7.07</v>
      </c>
      <c r="H167" s="13">
        <v>5.34</v>
      </c>
      <c r="I167" s="13">
        <f t="shared" si="205"/>
        <v>12.41</v>
      </c>
      <c r="J167" s="13">
        <f t="shared" si="206"/>
        <v>397.12</v>
      </c>
      <c r="K167" s="20">
        <v>0.27760000000000001</v>
      </c>
      <c r="L167" s="13">
        <f t="shared" si="207"/>
        <v>289.04000000000002</v>
      </c>
      <c r="M167" s="13">
        <f t="shared" si="208"/>
        <v>218.31</v>
      </c>
      <c r="N167" s="13">
        <f t="shared" si="209"/>
        <v>507.35</v>
      </c>
      <c r="X167" s="45">
        <v>0.75</v>
      </c>
      <c r="Y167" s="44">
        <f t="shared" si="203"/>
        <v>380.51250000000005</v>
      </c>
      <c r="Z167" s="45">
        <v>0.25</v>
      </c>
      <c r="AA167" s="44">
        <f t="shared" si="204"/>
        <v>126.83750000000001</v>
      </c>
      <c r="AC167" s="43">
        <f t="shared" si="189"/>
        <v>1</v>
      </c>
      <c r="AD167" s="12">
        <f t="shared" si="189"/>
        <v>507.35</v>
      </c>
      <c r="AE167" s="4" t="str">
        <f t="shared" si="190"/>
        <v>OK</v>
      </c>
    </row>
    <row r="171" spans="1:31" ht="30" customHeight="1" x14ac:dyDescent="0.25">
      <c r="A171" s="14"/>
      <c r="B171" s="14"/>
      <c r="C171" s="14"/>
      <c r="D171" s="14" t="s">
        <v>428</v>
      </c>
      <c r="E171" s="14"/>
      <c r="F171" s="14"/>
      <c r="G171" s="15"/>
      <c r="H171" s="15"/>
      <c r="I171" s="14"/>
      <c r="J171" s="15">
        <f>SUM(J7:J170)</f>
        <v>287169.06999999995</v>
      </c>
      <c r="K171" s="66"/>
      <c r="L171" s="15">
        <f>SUM(L7:L170)</f>
        <v>315399.28000000003</v>
      </c>
      <c r="M171" s="15">
        <f>SUM(M7:M170)</f>
        <v>27366.390000000014</v>
      </c>
      <c r="N171" s="15">
        <f>SUM(N7:N170)/2</f>
        <v>342765.67000000004</v>
      </c>
      <c r="Q171" s="57">
        <f>SUM(Q7:Q167)</f>
        <v>0.28827886993466989</v>
      </c>
      <c r="S171" s="60" t="s">
        <v>428</v>
      </c>
      <c r="T171" s="49">
        <f>U171/$N$171</f>
        <v>0</v>
      </c>
      <c r="U171" s="15">
        <f>SUM(U7:U170)/2</f>
        <v>0</v>
      </c>
      <c r="V171" s="49">
        <f>W171/$N$171</f>
        <v>1.2048128973943041E-2</v>
      </c>
      <c r="W171" s="15">
        <f>SUM(W7:W170)/2</f>
        <v>4129.6849999999995</v>
      </c>
      <c r="X171" s="49">
        <f>Y171/$N$171</f>
        <v>0.58322881343397082</v>
      </c>
      <c r="Y171" s="15">
        <f>SUM(Y7:Y170)/2</f>
        <v>199910.81500000003</v>
      </c>
      <c r="Z171" s="49">
        <f>AA171/$N$171</f>
        <v>0.40472305759208616</v>
      </c>
      <c r="AA171" s="15">
        <f>SUM(AA7:AA170)/2</f>
        <v>138725.17000000001</v>
      </c>
      <c r="AD171" s="59">
        <f>SUM(AD7:AD170)/2</f>
        <v>342765.67000000004</v>
      </c>
    </row>
    <row r="172" spans="1:31" x14ac:dyDescent="0.25">
      <c r="L172" s="65">
        <f>L171/$N$171</f>
        <v>0.92016006153708452</v>
      </c>
      <c r="M172" s="65">
        <f>M171/$N$171</f>
        <v>7.9839938462915525E-2</v>
      </c>
      <c r="N172" s="65">
        <f>N171/$N$171</f>
        <v>1</v>
      </c>
      <c r="T172" s="50"/>
      <c r="V172" s="50"/>
      <c r="X172" s="50"/>
      <c r="Z172" s="50"/>
    </row>
    <row r="173" spans="1:31" ht="45" x14ac:dyDescent="0.25">
      <c r="S173" s="61" t="s">
        <v>429</v>
      </c>
      <c r="T173" s="49">
        <f>T171</f>
        <v>0</v>
      </c>
      <c r="U173" s="15">
        <f>U171</f>
        <v>0</v>
      </c>
      <c r="V173" s="49">
        <f t="shared" ref="V173:AA173" si="210">V171+T173</f>
        <v>1.2048128973943041E-2</v>
      </c>
      <c r="W173" s="15">
        <f t="shared" si="210"/>
        <v>4129.6849999999995</v>
      </c>
      <c r="X173" s="49">
        <f t="shared" si="210"/>
        <v>0.59527694240791384</v>
      </c>
      <c r="Y173" s="15">
        <f t="shared" si="210"/>
        <v>204040.50000000003</v>
      </c>
      <c r="Z173" s="49">
        <f t="shared" si="210"/>
        <v>1</v>
      </c>
      <c r="AA173" s="15">
        <f t="shared" si="210"/>
        <v>342765.67000000004</v>
      </c>
    </row>
    <row r="179" spans="13:27" x14ac:dyDescent="0.25">
      <c r="M179" s="12">
        <f>L171+M171</f>
        <v>342765.67000000004</v>
      </c>
      <c r="N179" s="51" t="str">
        <f>IF(N171=M179,"OK","REVISAR")</f>
        <v>OK</v>
      </c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 t="str">
        <f>IF(AA173=M179,"OK","REVISAR")</f>
        <v>OK</v>
      </c>
    </row>
  </sheetData>
  <conditionalFormatting sqref="M179">
    <cfRule type="cellIs" dxfId="35" priority="49" operator="notEqual">
      <formula>$N$171</formula>
    </cfRule>
    <cfRule type="cellIs" dxfId="34" priority="50" operator="equal">
      <formula>$N$171</formula>
    </cfRule>
  </conditionalFormatting>
  <conditionalFormatting sqref="AD81:AD120 AD126:AD156">
    <cfRule type="cellIs" dxfId="33" priority="21" operator="notEqual">
      <formula>$N81</formula>
    </cfRule>
    <cfRule type="cellIs" dxfId="32" priority="22" operator="equal">
      <formula>$N81</formula>
    </cfRule>
  </conditionalFormatting>
  <conditionalFormatting sqref="AD8:AD25">
    <cfRule type="cellIs" dxfId="31" priority="35" operator="notEqual">
      <formula>$N8</formula>
    </cfRule>
    <cfRule type="cellIs" dxfId="30" priority="36" operator="equal">
      <formula>$N8</formula>
    </cfRule>
  </conditionalFormatting>
  <conditionalFormatting sqref="AD123">
    <cfRule type="cellIs" dxfId="29" priority="33" operator="notEqual">
      <formula>$N123</formula>
    </cfRule>
    <cfRule type="cellIs" dxfId="28" priority="34" operator="equal">
      <formula>$N123</formula>
    </cfRule>
  </conditionalFormatting>
  <conditionalFormatting sqref="AD159:AD167">
    <cfRule type="cellIs" dxfId="27" priority="31" operator="notEqual">
      <formula>$N159</formula>
    </cfRule>
    <cfRule type="cellIs" dxfId="26" priority="32" operator="equal">
      <formula>$N159</formula>
    </cfRule>
  </conditionalFormatting>
  <conditionalFormatting sqref="AD28:AD35">
    <cfRule type="cellIs" dxfId="25" priority="29" operator="notEqual">
      <formula>$N28</formula>
    </cfRule>
    <cfRule type="cellIs" dxfId="24" priority="30" operator="equal">
      <formula>$N28</formula>
    </cfRule>
  </conditionalFormatting>
  <conditionalFormatting sqref="AD38:AD45">
    <cfRule type="cellIs" dxfId="23" priority="27" operator="notEqual">
      <formula>$N38</formula>
    </cfRule>
    <cfRule type="cellIs" dxfId="22" priority="28" operator="equal">
      <formula>$N38</formula>
    </cfRule>
  </conditionalFormatting>
  <conditionalFormatting sqref="AD48:AD57">
    <cfRule type="cellIs" dxfId="21" priority="25" operator="notEqual">
      <formula>$N48</formula>
    </cfRule>
    <cfRule type="cellIs" dxfId="20" priority="26" operator="equal">
      <formula>$N48</formula>
    </cfRule>
  </conditionalFormatting>
  <conditionalFormatting sqref="AD60:AD78">
    <cfRule type="cellIs" dxfId="19" priority="23" operator="notEqual">
      <formula>$N60</formula>
    </cfRule>
    <cfRule type="cellIs" dxfId="18" priority="24" operator="equal">
      <formula>$N60</formula>
    </cfRule>
  </conditionalFormatting>
  <conditionalFormatting sqref="AD158">
    <cfRule type="cellIs" dxfId="17" priority="17" operator="notEqual">
      <formula>$N158</formula>
    </cfRule>
    <cfRule type="cellIs" dxfId="16" priority="18" operator="equal">
      <formula>$N158</formula>
    </cfRule>
  </conditionalFormatting>
  <conditionalFormatting sqref="AD125">
    <cfRule type="cellIs" dxfId="15" priority="15" operator="notEqual">
      <formula>$N125</formula>
    </cfRule>
    <cfRule type="cellIs" dxfId="14" priority="16" operator="equal">
      <formula>$N125</formula>
    </cfRule>
  </conditionalFormatting>
  <conditionalFormatting sqref="AD122">
    <cfRule type="cellIs" dxfId="13" priority="13" operator="notEqual">
      <formula>$N122</formula>
    </cfRule>
    <cfRule type="cellIs" dxfId="12" priority="14" operator="equal">
      <formula>$N122</formula>
    </cfRule>
  </conditionalFormatting>
  <conditionalFormatting sqref="AD80">
    <cfRule type="cellIs" dxfId="11" priority="11" operator="notEqual">
      <formula>$N80</formula>
    </cfRule>
    <cfRule type="cellIs" dxfId="10" priority="12" operator="equal">
      <formula>$N80</formula>
    </cfRule>
  </conditionalFormatting>
  <conditionalFormatting sqref="AD59">
    <cfRule type="cellIs" dxfId="9" priority="9" operator="notEqual">
      <formula>$N59</formula>
    </cfRule>
    <cfRule type="cellIs" dxfId="8" priority="10" operator="equal">
      <formula>$N59</formula>
    </cfRule>
  </conditionalFormatting>
  <conditionalFormatting sqref="AD47">
    <cfRule type="cellIs" dxfId="7" priority="7" operator="notEqual">
      <formula>$N47</formula>
    </cfRule>
    <cfRule type="cellIs" dxfId="6" priority="8" operator="equal">
      <formula>$N47</formula>
    </cfRule>
  </conditionalFormatting>
  <conditionalFormatting sqref="AD37">
    <cfRule type="cellIs" dxfId="5" priority="5" operator="notEqual">
      <formula>$N37</formula>
    </cfRule>
    <cfRule type="cellIs" dxfId="4" priority="6" operator="equal">
      <formula>$N37</formula>
    </cfRule>
  </conditionalFormatting>
  <conditionalFormatting sqref="AD27">
    <cfRule type="cellIs" dxfId="3" priority="3" operator="notEqual">
      <formula>$N27</formula>
    </cfRule>
    <cfRule type="cellIs" dxfId="2" priority="4" operator="equal">
      <formula>$N27</formula>
    </cfRule>
  </conditionalFormatting>
  <conditionalFormatting sqref="AD7">
    <cfRule type="cellIs" dxfId="1" priority="1" operator="notEqual">
      <formula>$N7</formula>
    </cfRule>
    <cfRule type="cellIs" dxfId="0" priority="2" operator="equal">
      <formula>$N7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topLeftCell="D25" workbookViewId="0">
      <selection activeCell="L37" sqref="L37:L39"/>
    </sheetView>
  </sheetViews>
  <sheetFormatPr defaultRowHeight="15" x14ac:dyDescent="0.25"/>
  <cols>
    <col min="1" max="1" width="16.42578125" bestFit="1" customWidth="1"/>
    <col min="2" max="2" width="6" bestFit="1" customWidth="1"/>
    <col min="3" max="3" width="27.42578125" customWidth="1"/>
    <col min="4" max="4" width="15.7109375" customWidth="1"/>
    <col min="7" max="7" width="24.85546875" customWidth="1"/>
    <col min="8" max="8" width="13.85546875" customWidth="1"/>
    <col min="9" max="9" width="11.85546875" customWidth="1"/>
    <col min="10" max="10" width="11.28515625" customWidth="1"/>
    <col min="11" max="11" width="11.5703125" customWidth="1"/>
    <col min="13" max="13" width="20.7109375" bestFit="1" customWidth="1"/>
  </cols>
  <sheetData>
    <row r="1" spans="1:13" x14ac:dyDescent="0.25">
      <c r="A1" s="33" t="s">
        <v>391</v>
      </c>
      <c r="B1" s="33"/>
      <c r="C1" s="33" t="s">
        <v>392</v>
      </c>
      <c r="D1" s="33"/>
      <c r="E1" s="33"/>
      <c r="F1" s="33"/>
      <c r="G1" s="33"/>
      <c r="H1" s="33"/>
      <c r="I1" s="33"/>
      <c r="J1" s="33"/>
      <c r="K1" s="33"/>
      <c r="L1" s="33"/>
      <c r="M1" s="33" t="s">
        <v>84</v>
      </c>
    </row>
    <row r="2" spans="1:13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3" t="s">
        <v>380</v>
      </c>
      <c r="B3" s="33">
        <v>863</v>
      </c>
      <c r="C3" s="33" t="s">
        <v>393</v>
      </c>
      <c r="D3" s="33"/>
      <c r="E3" s="33"/>
      <c r="F3" s="33"/>
      <c r="G3" s="33"/>
      <c r="H3" s="33" t="s">
        <v>381</v>
      </c>
      <c r="I3" s="33" t="s">
        <v>382</v>
      </c>
      <c r="J3" s="33">
        <v>1.1000000000000001</v>
      </c>
      <c r="K3" s="33">
        <v>15.57</v>
      </c>
      <c r="L3" s="33">
        <v>17.13</v>
      </c>
      <c r="M3" s="33"/>
    </row>
    <row r="4" spans="1:13" x14ac:dyDescent="0.25">
      <c r="A4" s="33" t="s">
        <v>383</v>
      </c>
      <c r="B4" s="33">
        <v>88247</v>
      </c>
      <c r="C4" s="33" t="s">
        <v>384</v>
      </c>
      <c r="D4" s="33"/>
      <c r="E4" s="33"/>
      <c r="F4" s="33"/>
      <c r="G4" s="33"/>
      <c r="H4" s="33" t="s">
        <v>385</v>
      </c>
      <c r="I4" s="33" t="s">
        <v>382</v>
      </c>
      <c r="J4" s="33">
        <v>3.3700000000000001E-2</v>
      </c>
      <c r="K4" s="33">
        <v>13.33</v>
      </c>
      <c r="L4" s="33">
        <v>0.44</v>
      </c>
      <c r="M4" s="33"/>
    </row>
    <row r="5" spans="1:13" x14ac:dyDescent="0.25">
      <c r="A5" s="33" t="s">
        <v>383</v>
      </c>
      <c r="B5" s="33">
        <v>88264</v>
      </c>
      <c r="C5" s="33" t="s">
        <v>148</v>
      </c>
      <c r="D5" s="33"/>
      <c r="E5" s="33"/>
      <c r="F5" s="33"/>
      <c r="G5" s="33"/>
      <c r="H5" s="33" t="s">
        <v>386</v>
      </c>
      <c r="I5" s="33" t="s">
        <v>383</v>
      </c>
      <c r="J5" s="33">
        <v>3.3700000000000001E-2</v>
      </c>
      <c r="K5" s="33">
        <v>17.05</v>
      </c>
      <c r="L5" s="33">
        <v>0.56999999999999995</v>
      </c>
      <c r="M5" s="33"/>
    </row>
    <row r="6" spans="1:13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x14ac:dyDescent="0.25">
      <c r="A7" s="33"/>
      <c r="B7" s="33"/>
      <c r="C7" s="33" t="s">
        <v>387</v>
      </c>
      <c r="D7" s="33"/>
      <c r="E7" s="33"/>
      <c r="F7" s="33"/>
      <c r="G7" s="33"/>
      <c r="H7" s="33">
        <f>(24.17-23.85)+L3</f>
        <v>17.45</v>
      </c>
      <c r="I7" s="33"/>
      <c r="J7" s="34">
        <f>H7/H9</f>
        <v>0.96196251378169784</v>
      </c>
      <c r="K7" s="33"/>
      <c r="L7" s="33"/>
      <c r="M7" s="33"/>
    </row>
    <row r="8" spans="1:13" x14ac:dyDescent="0.25">
      <c r="A8" s="33"/>
      <c r="B8" s="33"/>
      <c r="C8" s="33" t="s">
        <v>388</v>
      </c>
      <c r="D8" s="33"/>
      <c r="E8" s="33"/>
      <c r="F8" s="33"/>
      <c r="G8" s="33"/>
      <c r="H8" s="33">
        <v>0.69</v>
      </c>
      <c r="I8" s="33"/>
      <c r="J8" s="34">
        <f>H8/H9</f>
        <v>3.8037486218302094E-2</v>
      </c>
      <c r="K8" s="33"/>
      <c r="L8" s="33"/>
      <c r="M8" s="33"/>
    </row>
    <row r="9" spans="1:13" x14ac:dyDescent="0.25">
      <c r="A9" s="33"/>
      <c r="B9" s="33"/>
      <c r="C9" s="33" t="s">
        <v>389</v>
      </c>
      <c r="D9" s="33"/>
      <c r="E9" s="33"/>
      <c r="F9" s="33"/>
      <c r="G9" s="33"/>
      <c r="H9" s="33">
        <f>H7+H8</f>
        <v>18.14</v>
      </c>
      <c r="I9" s="33"/>
      <c r="J9" s="34">
        <v>1</v>
      </c>
      <c r="K9" s="33"/>
      <c r="L9" s="33"/>
      <c r="M9" s="33" t="s">
        <v>390</v>
      </c>
    </row>
    <row r="12" spans="1:13" x14ac:dyDescent="0.25">
      <c r="A12" s="33" t="s">
        <v>394</v>
      </c>
      <c r="B12" s="33"/>
      <c r="C12" s="33" t="s">
        <v>398</v>
      </c>
      <c r="D12" s="33"/>
      <c r="E12" s="33"/>
      <c r="F12" s="33"/>
      <c r="G12" s="33"/>
      <c r="H12" s="33"/>
      <c r="I12" s="33"/>
      <c r="J12" s="33"/>
      <c r="K12" s="33"/>
      <c r="L12" s="33"/>
      <c r="M12" s="33" t="s">
        <v>395</v>
      </c>
    </row>
    <row r="13" spans="1:13" x14ac:dyDescent="0.25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1:13" x14ac:dyDescent="0.25">
      <c r="A14" s="33" t="s">
        <v>396</v>
      </c>
      <c r="B14" s="33">
        <v>1587</v>
      </c>
      <c r="C14" s="33" t="s">
        <v>399</v>
      </c>
      <c r="D14" s="33"/>
      <c r="E14" s="33"/>
      <c r="F14" s="33"/>
      <c r="G14" s="33"/>
      <c r="H14" s="33" t="s">
        <v>395</v>
      </c>
      <c r="I14" s="33" t="s">
        <v>397</v>
      </c>
      <c r="J14" s="33">
        <v>1</v>
      </c>
      <c r="K14" s="33">
        <v>4.3099999999999996</v>
      </c>
      <c r="L14" s="33">
        <v>4.3099999999999996</v>
      </c>
      <c r="M14" s="33"/>
    </row>
    <row r="15" spans="1:13" x14ac:dyDescent="0.25">
      <c r="A15" s="33" t="s">
        <v>383</v>
      </c>
      <c r="B15" s="33">
        <v>88247</v>
      </c>
      <c r="C15" s="33" t="s">
        <v>384</v>
      </c>
      <c r="D15" s="33"/>
      <c r="E15" s="33"/>
      <c r="F15" s="33"/>
      <c r="G15" s="33"/>
      <c r="H15" s="33" t="s">
        <v>385</v>
      </c>
      <c r="I15" s="33" t="s">
        <v>382</v>
      </c>
      <c r="J15" s="33">
        <v>0.4</v>
      </c>
      <c r="K15" s="33">
        <v>13.33</v>
      </c>
      <c r="L15" s="33">
        <v>5.33</v>
      </c>
      <c r="M15" s="33"/>
    </row>
    <row r="16" spans="1:13" x14ac:dyDescent="0.25">
      <c r="A16" s="33" t="s">
        <v>383</v>
      </c>
      <c r="B16" s="33">
        <v>88264</v>
      </c>
      <c r="C16" s="33" t="s">
        <v>148</v>
      </c>
      <c r="D16" s="33"/>
      <c r="E16" s="33"/>
      <c r="F16" s="33"/>
      <c r="G16" s="33"/>
      <c r="H16" s="33" t="s">
        <v>386</v>
      </c>
      <c r="I16" s="33" t="s">
        <v>383</v>
      </c>
      <c r="J16" s="33">
        <v>0.4</v>
      </c>
      <c r="K16" s="33">
        <v>17.05</v>
      </c>
      <c r="L16" s="33">
        <v>6.82</v>
      </c>
      <c r="M16" s="33"/>
    </row>
    <row r="17" spans="1:13" x14ac:dyDescent="0.2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1:13" x14ac:dyDescent="0.25">
      <c r="A18" s="33"/>
      <c r="B18" s="33"/>
      <c r="C18" s="33" t="s">
        <v>387</v>
      </c>
      <c r="D18" s="33"/>
      <c r="E18" s="33"/>
      <c r="F18" s="33"/>
      <c r="G18" s="33"/>
      <c r="H18" s="33">
        <f>(12.15-8.51)+4.31</f>
        <v>7.95</v>
      </c>
      <c r="I18" s="33"/>
      <c r="J18" s="34">
        <f>H18/H20</f>
        <v>0.48298906439854189</v>
      </c>
      <c r="K18" s="33"/>
      <c r="L18" s="33"/>
      <c r="M18" s="33"/>
    </row>
    <row r="19" spans="1:13" x14ac:dyDescent="0.25">
      <c r="A19" s="33"/>
      <c r="B19" s="33"/>
      <c r="C19" s="33" t="s">
        <v>388</v>
      </c>
      <c r="D19" s="33"/>
      <c r="E19" s="33"/>
      <c r="F19" s="33"/>
      <c r="G19" s="33"/>
      <c r="H19" s="33">
        <v>8.51</v>
      </c>
      <c r="I19" s="33"/>
      <c r="J19" s="34">
        <f>H19/H20</f>
        <v>0.51701093560145805</v>
      </c>
      <c r="K19" s="33"/>
      <c r="L19" s="33"/>
      <c r="M19" s="33"/>
    </row>
    <row r="20" spans="1:13" x14ac:dyDescent="0.25">
      <c r="A20" s="33"/>
      <c r="B20" s="33"/>
      <c r="C20" s="33" t="s">
        <v>389</v>
      </c>
      <c r="D20" s="33"/>
      <c r="E20" s="33"/>
      <c r="F20" s="33"/>
      <c r="G20" s="33"/>
      <c r="H20" s="33">
        <f>H18+H19</f>
        <v>16.46</v>
      </c>
      <c r="I20" s="33"/>
      <c r="J20" s="34">
        <v>1</v>
      </c>
      <c r="K20" s="33"/>
      <c r="L20" s="33"/>
      <c r="M20" s="33" t="s">
        <v>390</v>
      </c>
    </row>
    <row r="23" spans="1:13" x14ac:dyDescent="0.25">
      <c r="A23" s="33" t="s">
        <v>402</v>
      </c>
      <c r="B23" s="33"/>
      <c r="C23" s="33" t="s">
        <v>403</v>
      </c>
      <c r="D23" s="33"/>
      <c r="E23" s="33"/>
      <c r="F23" s="33"/>
      <c r="G23" s="33"/>
      <c r="H23" s="33"/>
      <c r="I23" s="33"/>
      <c r="J23" s="33"/>
      <c r="K23" s="33"/>
      <c r="L23" s="33"/>
      <c r="M23" s="33" t="s">
        <v>395</v>
      </c>
    </row>
    <row r="24" spans="1:13" x14ac:dyDescent="0.2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1:13" x14ac:dyDescent="0.25">
      <c r="A25" s="33" t="s">
        <v>396</v>
      </c>
      <c r="B25" s="33">
        <v>11858</v>
      </c>
      <c r="C25" s="33" t="s">
        <v>375</v>
      </c>
      <c r="D25" s="33"/>
      <c r="E25" s="33"/>
      <c r="F25" s="33"/>
      <c r="G25" s="33"/>
      <c r="H25" s="33" t="s">
        <v>395</v>
      </c>
      <c r="I25" s="33" t="s">
        <v>397</v>
      </c>
      <c r="J25" s="33">
        <v>1</v>
      </c>
      <c r="K25" s="33">
        <v>26.65</v>
      </c>
      <c r="L25" s="33">
        <v>26.65</v>
      </c>
      <c r="M25" s="33"/>
    </row>
    <row r="26" spans="1:13" x14ac:dyDescent="0.25">
      <c r="A26" s="33" t="s">
        <v>383</v>
      </c>
      <c r="B26" s="33">
        <v>88247</v>
      </c>
      <c r="C26" s="33" t="s">
        <v>384</v>
      </c>
      <c r="D26" s="33"/>
      <c r="E26" s="33"/>
      <c r="F26" s="33"/>
      <c r="G26" s="33"/>
      <c r="H26" s="33" t="s">
        <v>385</v>
      </c>
      <c r="I26" s="33" t="s">
        <v>382</v>
      </c>
      <c r="J26" s="33">
        <v>0.2</v>
      </c>
      <c r="K26" s="33">
        <v>13.33</v>
      </c>
      <c r="L26" s="33">
        <v>2.66</v>
      </c>
      <c r="M26" s="33"/>
    </row>
    <row r="27" spans="1:13" x14ac:dyDescent="0.25">
      <c r="A27" s="33" t="s">
        <v>383</v>
      </c>
      <c r="B27" s="33">
        <v>88264</v>
      </c>
      <c r="C27" s="33" t="s">
        <v>148</v>
      </c>
      <c r="D27" s="33"/>
      <c r="E27" s="33"/>
      <c r="F27" s="33"/>
      <c r="G27" s="33"/>
      <c r="H27" s="33" t="s">
        <v>386</v>
      </c>
      <c r="I27" s="33" t="s">
        <v>383</v>
      </c>
      <c r="J27" s="33">
        <v>0.2</v>
      </c>
      <c r="K27" s="33">
        <v>17.05</v>
      </c>
      <c r="L27" s="33">
        <v>3.41</v>
      </c>
      <c r="M27" s="33"/>
    </row>
    <row r="28" spans="1:13" x14ac:dyDescent="0.25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3" x14ac:dyDescent="0.25">
      <c r="A29" s="33"/>
      <c r="B29" s="33"/>
      <c r="C29" s="33" t="s">
        <v>387</v>
      </c>
      <c r="D29" s="33"/>
      <c r="E29" s="33"/>
      <c r="F29" s="33"/>
      <c r="G29" s="33"/>
      <c r="H29" s="33">
        <f>(8.13-6.32)+26.65</f>
        <v>28.46</v>
      </c>
      <c r="I29" s="33"/>
      <c r="J29" s="34">
        <f>H29/H31</f>
        <v>0.86980440097799516</v>
      </c>
      <c r="K29" s="33"/>
      <c r="L29" s="33"/>
      <c r="M29" s="33"/>
    </row>
    <row r="30" spans="1:13" x14ac:dyDescent="0.25">
      <c r="A30" s="33"/>
      <c r="B30" s="33"/>
      <c r="C30" s="33" t="s">
        <v>388</v>
      </c>
      <c r="D30" s="33"/>
      <c r="E30" s="33"/>
      <c r="F30" s="33"/>
      <c r="G30" s="33"/>
      <c r="H30" s="33">
        <v>4.26</v>
      </c>
      <c r="I30" s="33"/>
      <c r="J30" s="34">
        <f>H30/H31</f>
        <v>0.13019559902200489</v>
      </c>
      <c r="K30" s="33"/>
      <c r="L30" s="33"/>
      <c r="M30" s="33"/>
    </row>
    <row r="31" spans="1:13" x14ac:dyDescent="0.25">
      <c r="A31" s="33"/>
      <c r="B31" s="33"/>
      <c r="C31" s="33" t="s">
        <v>389</v>
      </c>
      <c r="D31" s="33"/>
      <c r="E31" s="33"/>
      <c r="F31" s="33"/>
      <c r="G31" s="33"/>
      <c r="H31" s="33">
        <f>H29+H30</f>
        <v>32.72</v>
      </c>
      <c r="I31" s="33"/>
      <c r="J31" s="34">
        <v>1</v>
      </c>
      <c r="K31" s="33"/>
      <c r="L31" s="33"/>
      <c r="M31" s="33" t="s">
        <v>390</v>
      </c>
    </row>
    <row r="35" spans="1:19" x14ac:dyDescent="0.25">
      <c r="A35" s="33" t="s">
        <v>433</v>
      </c>
      <c r="B35" s="33"/>
      <c r="C35" s="33" t="s">
        <v>432</v>
      </c>
      <c r="D35" s="33"/>
      <c r="E35" s="33"/>
      <c r="F35" s="33"/>
      <c r="G35" s="33"/>
      <c r="H35" s="33"/>
      <c r="I35" s="33"/>
      <c r="J35" s="33"/>
      <c r="K35" s="33"/>
      <c r="L35" s="33"/>
      <c r="M35" s="33" t="s">
        <v>395</v>
      </c>
    </row>
    <row r="36" spans="1:19" x14ac:dyDescent="0.2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</row>
    <row r="37" spans="1:19" x14ac:dyDescent="0.25">
      <c r="A37" s="33" t="s">
        <v>383</v>
      </c>
      <c r="B37">
        <v>88266</v>
      </c>
      <c r="C37" t="s">
        <v>329</v>
      </c>
      <c r="D37" s="33"/>
      <c r="E37" s="33"/>
      <c r="F37" s="33"/>
      <c r="G37" s="33"/>
      <c r="H37" s="33" t="s">
        <v>385</v>
      </c>
      <c r="I37" s="33" t="s">
        <v>383</v>
      </c>
      <c r="J37" s="33">
        <v>8</v>
      </c>
      <c r="K37" s="33">
        <v>24.85</v>
      </c>
      <c r="L37" s="33">
        <f>J37*K37</f>
        <v>198.8</v>
      </c>
      <c r="M37" s="33"/>
      <c r="O37">
        <v>4.5599999999999996</v>
      </c>
      <c r="P37">
        <v>20.29</v>
      </c>
      <c r="R37">
        <f>J37*O37</f>
        <v>36.479999999999997</v>
      </c>
      <c r="S37">
        <f>J37*P37</f>
        <v>162.32</v>
      </c>
    </row>
    <row r="38" spans="1:19" x14ac:dyDescent="0.25">
      <c r="A38" s="33" t="s">
        <v>383</v>
      </c>
      <c r="B38">
        <v>88243</v>
      </c>
      <c r="C38" t="s">
        <v>330</v>
      </c>
      <c r="D38" s="33"/>
      <c r="E38" s="33"/>
      <c r="F38" s="33"/>
      <c r="G38" s="33"/>
      <c r="H38" s="33" t="s">
        <v>385</v>
      </c>
      <c r="I38" s="33" t="s">
        <v>383</v>
      </c>
      <c r="J38" s="33">
        <v>8</v>
      </c>
      <c r="K38" s="33">
        <v>16.260000000000002</v>
      </c>
      <c r="L38" s="33">
        <f>J38*K38</f>
        <v>130.08000000000001</v>
      </c>
      <c r="M38" s="33"/>
      <c r="O38" s="33">
        <v>4.43</v>
      </c>
      <c r="P38" s="33">
        <v>11.83</v>
      </c>
      <c r="R38">
        <f>J38*O38</f>
        <v>35.44</v>
      </c>
      <c r="S38">
        <f>J38*P38</f>
        <v>94.64</v>
      </c>
    </row>
    <row r="39" spans="1:19" x14ac:dyDescent="0.25">
      <c r="A39" s="33" t="s">
        <v>383</v>
      </c>
      <c r="B39">
        <v>5824</v>
      </c>
      <c r="C39" t="s">
        <v>435</v>
      </c>
      <c r="D39" s="33"/>
      <c r="E39" s="33"/>
      <c r="F39" s="33"/>
      <c r="G39" s="33"/>
      <c r="H39" s="33" t="s">
        <v>436</v>
      </c>
      <c r="I39" s="33" t="s">
        <v>383</v>
      </c>
      <c r="J39" s="33">
        <v>4</v>
      </c>
      <c r="K39" s="33">
        <v>133.69</v>
      </c>
      <c r="L39" s="33">
        <f>J39*K39</f>
        <v>534.76</v>
      </c>
      <c r="M39" s="33"/>
      <c r="O39">
        <f>23.85+93.12</f>
        <v>116.97</v>
      </c>
      <c r="P39">
        <v>16.72</v>
      </c>
      <c r="R39">
        <f>J39*O39</f>
        <v>467.88</v>
      </c>
      <c r="S39">
        <f>J39*P39</f>
        <v>66.88</v>
      </c>
    </row>
    <row r="40" spans="1:19" x14ac:dyDescent="0.25">
      <c r="A40" s="33"/>
      <c r="D40" s="33"/>
      <c r="E40" s="33"/>
      <c r="F40" s="33"/>
      <c r="G40" s="33"/>
      <c r="H40" s="33"/>
      <c r="I40" s="33"/>
      <c r="J40" s="33"/>
      <c r="K40" s="33"/>
      <c r="L40" s="33"/>
      <c r="M40" s="33"/>
    </row>
    <row r="41" spans="1:19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R41">
        <f>SUM(R37:R39)</f>
        <v>539.79999999999995</v>
      </c>
      <c r="S41">
        <f>SUM(S37:S39)</f>
        <v>323.83999999999997</v>
      </c>
    </row>
    <row r="42" spans="1:19" x14ac:dyDescent="0.25">
      <c r="A42" s="33"/>
      <c r="B42" s="33"/>
      <c r="C42" s="33" t="s">
        <v>387</v>
      </c>
      <c r="D42" s="33"/>
      <c r="E42" s="33"/>
      <c r="F42" s="33"/>
      <c r="G42" s="33"/>
      <c r="H42" s="33">
        <f>R41</f>
        <v>539.79999999999995</v>
      </c>
      <c r="I42" s="33"/>
      <c r="J42" s="34">
        <f>H42/H44</f>
        <v>0.6250289472465379</v>
      </c>
      <c r="K42" s="33"/>
      <c r="L42" s="33"/>
      <c r="M42" s="33"/>
    </row>
    <row r="43" spans="1:19" x14ac:dyDescent="0.25">
      <c r="A43" s="33"/>
      <c r="B43" s="33"/>
      <c r="C43" s="33" t="s">
        <v>388</v>
      </c>
      <c r="D43" s="33"/>
      <c r="E43" s="33"/>
      <c r="F43" s="33"/>
      <c r="G43" s="33"/>
      <c r="H43" s="33">
        <f>S41</f>
        <v>323.83999999999997</v>
      </c>
      <c r="I43" s="33"/>
      <c r="J43" s="34">
        <f>H43/H44</f>
        <v>0.3749710527534621</v>
      </c>
      <c r="K43" s="33"/>
      <c r="L43" s="33"/>
      <c r="M43" s="33"/>
    </row>
    <row r="44" spans="1:19" x14ac:dyDescent="0.25">
      <c r="A44" s="33"/>
      <c r="B44" s="33"/>
      <c r="C44" s="33" t="s">
        <v>389</v>
      </c>
      <c r="D44" s="33"/>
      <c r="E44" s="33"/>
      <c r="F44" s="33"/>
      <c r="G44" s="33"/>
      <c r="H44" s="33">
        <f>H42+H43</f>
        <v>863.63999999999987</v>
      </c>
      <c r="I44" s="33"/>
      <c r="J44" s="34">
        <v>1</v>
      </c>
      <c r="K44" s="33"/>
      <c r="L44" s="33"/>
      <c r="M44" s="33" t="s">
        <v>434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opLeftCell="A10" workbookViewId="0">
      <selection activeCell="H18" sqref="H18"/>
    </sheetView>
  </sheetViews>
  <sheetFormatPr defaultRowHeight="15" x14ac:dyDescent="0.25"/>
  <cols>
    <col min="1" max="1" width="9.85546875" customWidth="1"/>
    <col min="4" max="4" width="23.5703125" customWidth="1"/>
    <col min="8" max="11" width="19.5703125" customWidth="1"/>
    <col min="12" max="12" width="5.85546875" customWidth="1"/>
  </cols>
  <sheetData>
    <row r="1" spans="1:13" ht="60" x14ac:dyDescent="0.25">
      <c r="F1" s="55" t="s">
        <v>438</v>
      </c>
      <c r="G1" s="55" t="s">
        <v>439</v>
      </c>
      <c r="H1" s="55" t="s">
        <v>424</v>
      </c>
      <c r="I1" s="55" t="s">
        <v>425</v>
      </c>
      <c r="J1" s="55" t="s">
        <v>424</v>
      </c>
      <c r="K1" s="55" t="s">
        <v>424</v>
      </c>
      <c r="M1" s="63" t="s">
        <v>426</v>
      </c>
    </row>
    <row r="2" spans="1:13" ht="30" x14ac:dyDescent="0.25">
      <c r="A2" s="17" t="s">
        <v>6</v>
      </c>
      <c r="B2" s="9" t="s">
        <v>54</v>
      </c>
      <c r="C2" s="9" t="s">
        <v>8</v>
      </c>
      <c r="D2" s="10" t="s">
        <v>55</v>
      </c>
      <c r="E2" s="46" t="s">
        <v>9</v>
      </c>
      <c r="F2" s="53">
        <v>130.69</v>
      </c>
      <c r="G2" s="53">
        <v>149</v>
      </c>
      <c r="H2" s="52"/>
      <c r="I2" s="52"/>
      <c r="J2" s="52"/>
      <c r="K2" s="52"/>
      <c r="M2" s="64">
        <f>AVERAGE(F2:K2)</f>
        <v>139.845</v>
      </c>
    </row>
    <row r="3" spans="1:13" ht="45" x14ac:dyDescent="0.25">
      <c r="A3" s="17" t="s">
        <v>6</v>
      </c>
      <c r="B3" s="9" t="s">
        <v>56</v>
      </c>
      <c r="C3" s="9" t="s">
        <v>8</v>
      </c>
      <c r="D3" s="10" t="s">
        <v>57</v>
      </c>
      <c r="E3" s="46" t="s">
        <v>9</v>
      </c>
      <c r="F3" s="53">
        <v>62.98</v>
      </c>
      <c r="G3" s="53">
        <v>95</v>
      </c>
      <c r="H3" s="52"/>
      <c r="I3" s="52"/>
      <c r="J3" s="52"/>
      <c r="K3" s="52"/>
      <c r="M3" s="64">
        <f>AVERAGE(F3:K3)</f>
        <v>78.989999999999995</v>
      </c>
    </row>
    <row r="4" spans="1:13" ht="45" x14ac:dyDescent="0.25">
      <c r="A4" s="17" t="s">
        <v>6</v>
      </c>
      <c r="B4" s="9" t="s">
        <v>58</v>
      </c>
      <c r="C4" s="9" t="s">
        <v>8</v>
      </c>
      <c r="D4" s="10" t="s">
        <v>59</v>
      </c>
      <c r="E4" s="46" t="s">
        <v>9</v>
      </c>
      <c r="F4" s="53"/>
      <c r="G4" s="53"/>
      <c r="H4" s="52">
        <f>38*1.15</f>
        <v>43.699999999999996</v>
      </c>
      <c r="I4" s="52"/>
      <c r="J4" s="52">
        <f>45*1.15</f>
        <v>51.749999999999993</v>
      </c>
      <c r="K4" s="52">
        <f>38.85*1.15</f>
        <v>44.677499999999995</v>
      </c>
      <c r="M4" s="64">
        <f>AVERAGE(F4:K4)</f>
        <v>46.709166666666668</v>
      </c>
    </row>
    <row r="5" spans="1:13" ht="45" x14ac:dyDescent="0.25">
      <c r="A5" s="17" t="s">
        <v>6</v>
      </c>
      <c r="B5" s="9" t="s">
        <v>60</v>
      </c>
      <c r="C5" s="9" t="s">
        <v>8</v>
      </c>
      <c r="D5" s="10" t="s">
        <v>61</v>
      </c>
      <c r="E5" s="46" t="s">
        <v>9</v>
      </c>
      <c r="F5" s="53"/>
      <c r="G5" s="53"/>
      <c r="H5" s="52">
        <f>367*1.15</f>
        <v>422.04999999999995</v>
      </c>
      <c r="I5" s="52">
        <f>356*1.15</f>
        <v>409.4</v>
      </c>
      <c r="J5" s="52"/>
      <c r="K5" s="52"/>
      <c r="M5" s="64">
        <f>AVERAGE(F5:K5)</f>
        <v>415.72499999999997</v>
      </c>
    </row>
    <row r="6" spans="1:13" ht="45" x14ac:dyDescent="0.25">
      <c r="A6" s="17" t="s">
        <v>6</v>
      </c>
      <c r="B6" s="9" t="s">
        <v>65</v>
      </c>
      <c r="C6" s="9" t="s">
        <v>8</v>
      </c>
      <c r="D6" s="10" t="s">
        <v>66</v>
      </c>
      <c r="E6" s="18" t="s">
        <v>9</v>
      </c>
      <c r="F6" s="53"/>
      <c r="G6" s="53">
        <v>30.25</v>
      </c>
      <c r="H6" s="52"/>
      <c r="I6" s="52"/>
      <c r="J6" s="52"/>
      <c r="K6" s="52"/>
      <c r="M6" s="64">
        <f>AVERAGE(F6:K6)</f>
        <v>30.25</v>
      </c>
    </row>
    <row r="7" spans="1:13" x14ac:dyDescent="0.25">
      <c r="F7" s="54"/>
      <c r="G7" s="54"/>
    </row>
    <row r="8" spans="1:13" x14ac:dyDescent="0.25">
      <c r="F8" s="54"/>
      <c r="G8" s="54"/>
    </row>
    <row r="9" spans="1:13" ht="60" x14ac:dyDescent="0.25">
      <c r="F9" s="55" t="s">
        <v>438</v>
      </c>
      <c r="G9" s="55" t="s">
        <v>439</v>
      </c>
      <c r="H9" s="55" t="s">
        <v>424</v>
      </c>
      <c r="I9" s="55" t="s">
        <v>425</v>
      </c>
      <c r="J9" s="55" t="s">
        <v>424</v>
      </c>
      <c r="K9" s="55" t="s">
        <v>424</v>
      </c>
      <c r="M9" s="63" t="s">
        <v>426</v>
      </c>
    </row>
    <row r="10" spans="1:13" ht="30" x14ac:dyDescent="0.25">
      <c r="A10" s="17" t="s">
        <v>6</v>
      </c>
      <c r="B10" s="9" t="s">
        <v>113</v>
      </c>
      <c r="C10" s="9" t="s">
        <v>8</v>
      </c>
      <c r="D10" s="10" t="s">
        <v>114</v>
      </c>
      <c r="E10" s="46" t="s">
        <v>17</v>
      </c>
      <c r="F10" s="53"/>
      <c r="G10" s="53">
        <v>64.569999999999993</v>
      </c>
      <c r="H10" s="52"/>
      <c r="I10" s="52"/>
      <c r="J10" s="52"/>
      <c r="K10" s="52"/>
      <c r="M10" s="64">
        <f>AVERAGE(F10:K10)</f>
        <v>64.569999999999993</v>
      </c>
    </row>
    <row r="11" spans="1:13" ht="30" x14ac:dyDescent="0.25">
      <c r="A11" s="17" t="s">
        <v>6</v>
      </c>
      <c r="B11" s="9" t="s">
        <v>115</v>
      </c>
      <c r="C11" s="9" t="s">
        <v>8</v>
      </c>
      <c r="D11" s="10" t="s">
        <v>116</v>
      </c>
      <c r="E11" s="46" t="s">
        <v>17</v>
      </c>
      <c r="F11" s="53"/>
      <c r="G11" s="53">
        <v>33.65</v>
      </c>
      <c r="H11" s="52"/>
      <c r="I11" s="52"/>
      <c r="J11" s="52"/>
      <c r="K11" s="52"/>
      <c r="M11" s="64">
        <f>AVERAGE(F11:K11)</f>
        <v>33.65</v>
      </c>
    </row>
    <row r="12" spans="1:13" ht="60" x14ac:dyDescent="0.25">
      <c r="A12" s="17" t="s">
        <v>6</v>
      </c>
      <c r="B12" s="9" t="s">
        <v>117</v>
      </c>
      <c r="C12" s="9" t="s">
        <v>8</v>
      </c>
      <c r="D12" s="10" t="s">
        <v>118</v>
      </c>
      <c r="E12" s="46" t="s">
        <v>9</v>
      </c>
      <c r="F12" s="53"/>
      <c r="G12" s="53">
        <v>7.76</v>
      </c>
      <c r="H12" s="52"/>
      <c r="I12" s="52"/>
      <c r="J12" s="52"/>
      <c r="K12" s="52"/>
      <c r="M12" s="64">
        <f>AVERAGE(F12:K12)</f>
        <v>7.76</v>
      </c>
    </row>
    <row r="13" spans="1:13" ht="30" x14ac:dyDescent="0.25">
      <c r="A13" s="17" t="s">
        <v>6</v>
      </c>
      <c r="B13" s="9" t="s">
        <v>121</v>
      </c>
      <c r="C13" s="9" t="s">
        <v>8</v>
      </c>
      <c r="D13" s="10" t="s">
        <v>423</v>
      </c>
      <c r="E13" s="46" t="s">
        <v>9</v>
      </c>
      <c r="F13" s="53"/>
      <c r="G13" s="53">
        <v>964</v>
      </c>
      <c r="H13" s="52"/>
      <c r="I13" s="52"/>
      <c r="J13" s="52"/>
      <c r="K13" s="52"/>
      <c r="M13" s="64">
        <f>AVERAGE(F13:K13)</f>
        <v>964</v>
      </c>
    </row>
    <row r="16" spans="1:13" ht="45" x14ac:dyDescent="0.25">
      <c r="H16" s="55" t="s">
        <v>437</v>
      </c>
      <c r="M16" s="63" t="s">
        <v>426</v>
      </c>
    </row>
    <row r="17" spans="1:13" ht="30" x14ac:dyDescent="0.25">
      <c r="A17" s="17" t="s">
        <v>6</v>
      </c>
      <c r="B17" s="18" t="s">
        <v>356</v>
      </c>
      <c r="C17" s="9" t="s">
        <v>8</v>
      </c>
      <c r="D17" s="10" t="s">
        <v>240</v>
      </c>
      <c r="E17" s="16" t="s">
        <v>150</v>
      </c>
      <c r="F17" s="53"/>
      <c r="G17" s="53"/>
      <c r="H17" s="53">
        <v>94.9</v>
      </c>
      <c r="I17" s="53"/>
      <c r="J17" s="53"/>
      <c r="K17" s="53"/>
      <c r="M17" s="64">
        <f>AVERAGE(F17:K17)</f>
        <v>94.9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Cronog Descritivo IMPRESSAO</vt:lpstr>
      <vt:lpstr>PQCU</vt:lpstr>
      <vt:lpstr>PCCU composicoes</vt:lpstr>
      <vt:lpstr>COTACOES</vt:lpstr>
      <vt:lpstr>'Cronog Descritivo IMPRESSAO'!Titulos_de_impressao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2019-10-22T18:06:17Z</dcterms:modified>
</cp:coreProperties>
</file>